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teconconsulting.sharepoint.com/sites/JungleClientServiceTeam/Freigegebene Dokumente/C042338 Amazon Kuiper GTM Expansion/Analysis/WP1/India/Data/"/>
    </mc:Choice>
  </mc:AlternateContent>
  <xr:revisionPtr revIDLastSave="42" documentId="11_C4C149137DD95A47805C51F0F1B2FEDA731551F8" xr6:coauthVersionLast="47" xr6:coauthVersionMax="47" xr10:uidLastSave="{B0632E98-209D-41FC-8FD5-9B4429348860}"/>
  <bookViews>
    <workbookView xWindow="-120" yWindow="-120" windowWidth="29040" windowHeight="15840" xr2:uid="{00000000-000D-0000-FFFF-FFFF00000000}"/>
  </bookViews>
  <sheets>
    <sheet name="Sheet2" sheetId="1" r:id="rId1"/>
  </sheets>
  <definedNames>
    <definedName name="_xlnm._FilterDatabase" localSheetId="0" hidden="1">Sheet2!$A$1:$K$5988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2" i="1"/>
  <c r="I5988" i="1"/>
  <c r="H5988" i="1"/>
  <c r="I5987" i="1"/>
  <c r="H5987" i="1"/>
  <c r="I5986" i="1"/>
  <c r="H5986" i="1"/>
  <c r="I5985" i="1"/>
  <c r="H5985" i="1"/>
  <c r="I5984" i="1"/>
  <c r="H5984" i="1"/>
  <c r="I5983" i="1"/>
  <c r="H5983" i="1"/>
  <c r="I5982" i="1"/>
  <c r="H5982" i="1"/>
  <c r="I5981" i="1"/>
  <c r="H5981" i="1"/>
  <c r="I5980" i="1"/>
  <c r="H5980" i="1"/>
  <c r="I5979" i="1"/>
  <c r="H5979" i="1"/>
  <c r="I5978" i="1"/>
  <c r="H5978" i="1"/>
  <c r="I5977" i="1"/>
  <c r="H5977" i="1"/>
  <c r="I5976" i="1"/>
  <c r="H5976" i="1"/>
  <c r="I5975" i="1"/>
  <c r="H5975" i="1"/>
  <c r="I5974" i="1"/>
  <c r="H5974" i="1"/>
  <c r="I5973" i="1"/>
  <c r="H5973" i="1"/>
  <c r="I5972" i="1"/>
  <c r="H5972" i="1"/>
  <c r="I5971" i="1"/>
  <c r="H5971" i="1"/>
  <c r="I5970" i="1"/>
  <c r="H5970" i="1"/>
  <c r="I5969" i="1"/>
  <c r="H5969" i="1"/>
  <c r="I5968" i="1"/>
  <c r="H5968" i="1"/>
  <c r="I5967" i="1"/>
  <c r="H5967" i="1"/>
  <c r="I5966" i="1"/>
  <c r="H5966" i="1"/>
  <c r="I5965" i="1"/>
  <c r="H5965" i="1"/>
  <c r="I5964" i="1"/>
  <c r="H5964" i="1"/>
  <c r="I5963" i="1"/>
  <c r="H5963" i="1"/>
  <c r="I5962" i="1"/>
  <c r="H5962" i="1"/>
  <c r="I5961" i="1"/>
  <c r="H5961" i="1"/>
  <c r="I5960" i="1"/>
  <c r="H5960" i="1"/>
  <c r="I5959" i="1"/>
  <c r="H5959" i="1"/>
  <c r="I5958" i="1"/>
  <c r="H5958" i="1"/>
  <c r="I5957" i="1"/>
  <c r="H5957" i="1"/>
  <c r="I5956" i="1"/>
  <c r="H5956" i="1"/>
  <c r="I5955" i="1"/>
  <c r="H5955" i="1"/>
  <c r="I5954" i="1"/>
  <c r="H5954" i="1"/>
  <c r="I5953" i="1"/>
  <c r="H5953" i="1"/>
  <c r="I5952" i="1"/>
  <c r="H5952" i="1"/>
  <c r="I5951" i="1"/>
  <c r="H5951" i="1"/>
  <c r="I5950" i="1"/>
  <c r="H5950" i="1"/>
  <c r="I5949" i="1"/>
  <c r="H5949" i="1"/>
  <c r="I5948" i="1"/>
  <c r="H5948" i="1"/>
  <c r="I5947" i="1"/>
  <c r="H5947" i="1"/>
  <c r="I5946" i="1"/>
  <c r="H5946" i="1"/>
  <c r="I5945" i="1"/>
  <c r="H5945" i="1"/>
  <c r="I5944" i="1"/>
  <c r="H5944" i="1"/>
  <c r="I5943" i="1"/>
  <c r="H5943" i="1"/>
  <c r="I5942" i="1"/>
  <c r="H5942" i="1"/>
  <c r="I5941" i="1"/>
  <c r="H5941" i="1"/>
  <c r="I5940" i="1"/>
  <c r="H5940" i="1"/>
  <c r="I5939" i="1"/>
  <c r="H5939" i="1"/>
  <c r="I5938" i="1"/>
  <c r="H5938" i="1"/>
  <c r="I5937" i="1"/>
  <c r="H5937" i="1"/>
  <c r="I5936" i="1"/>
  <c r="H5936" i="1"/>
  <c r="I5935" i="1"/>
  <c r="H5935" i="1"/>
  <c r="I5934" i="1"/>
  <c r="H5934" i="1"/>
  <c r="I5933" i="1"/>
  <c r="H5933" i="1"/>
  <c r="I5932" i="1"/>
  <c r="H5932" i="1"/>
  <c r="I5931" i="1"/>
  <c r="H5931" i="1"/>
  <c r="I5930" i="1"/>
  <c r="H5930" i="1"/>
  <c r="I5929" i="1"/>
  <c r="H5929" i="1"/>
  <c r="I5928" i="1"/>
  <c r="H5928" i="1"/>
  <c r="I5927" i="1"/>
  <c r="H5927" i="1"/>
  <c r="I5926" i="1"/>
  <c r="H5926" i="1"/>
  <c r="I5925" i="1"/>
  <c r="H5925" i="1"/>
  <c r="I5924" i="1"/>
  <c r="H5924" i="1"/>
  <c r="I5923" i="1"/>
  <c r="H5923" i="1"/>
  <c r="I5922" i="1"/>
  <c r="H5922" i="1"/>
  <c r="I5921" i="1"/>
  <c r="H5921" i="1"/>
  <c r="I5920" i="1"/>
  <c r="H5920" i="1"/>
  <c r="I5919" i="1"/>
  <c r="H5919" i="1"/>
  <c r="I5918" i="1"/>
  <c r="H5918" i="1"/>
  <c r="I5917" i="1"/>
  <c r="H5917" i="1"/>
  <c r="I5916" i="1"/>
  <c r="H5916" i="1"/>
  <c r="I5915" i="1"/>
  <c r="H5915" i="1"/>
  <c r="I5914" i="1"/>
  <c r="H5914" i="1"/>
  <c r="I5913" i="1"/>
  <c r="H5913" i="1"/>
  <c r="I5912" i="1"/>
  <c r="H5912" i="1"/>
  <c r="I5911" i="1"/>
  <c r="H5911" i="1"/>
  <c r="I5910" i="1"/>
  <c r="H5910" i="1"/>
  <c r="I5909" i="1"/>
  <c r="H5909" i="1"/>
  <c r="I5908" i="1"/>
  <c r="H5908" i="1"/>
  <c r="I5907" i="1"/>
  <c r="H5907" i="1"/>
  <c r="I5906" i="1"/>
  <c r="H5906" i="1"/>
  <c r="I5905" i="1"/>
  <c r="H5905" i="1"/>
  <c r="I5904" i="1"/>
  <c r="H5904" i="1"/>
  <c r="I5903" i="1"/>
  <c r="H5903" i="1"/>
  <c r="I5902" i="1"/>
  <c r="H5902" i="1"/>
  <c r="I5901" i="1"/>
  <c r="H5901" i="1"/>
  <c r="I5900" i="1"/>
  <c r="H5900" i="1"/>
  <c r="I5899" i="1"/>
  <c r="H5899" i="1"/>
  <c r="I5898" i="1"/>
  <c r="H5898" i="1"/>
  <c r="I5897" i="1"/>
  <c r="H5897" i="1"/>
  <c r="I5896" i="1"/>
  <c r="H5896" i="1"/>
  <c r="I5895" i="1"/>
  <c r="H5895" i="1"/>
  <c r="I5894" i="1"/>
  <c r="H5894" i="1"/>
  <c r="I5893" i="1"/>
  <c r="H5893" i="1"/>
  <c r="I5892" i="1"/>
  <c r="H5892" i="1"/>
  <c r="I5891" i="1"/>
  <c r="H5891" i="1"/>
  <c r="I5890" i="1"/>
  <c r="H5890" i="1"/>
  <c r="I5889" i="1"/>
  <c r="H5889" i="1"/>
  <c r="I5888" i="1"/>
  <c r="H5888" i="1"/>
  <c r="I5887" i="1"/>
  <c r="H5887" i="1"/>
  <c r="I5886" i="1"/>
  <c r="H5886" i="1"/>
  <c r="I5885" i="1"/>
  <c r="H5885" i="1"/>
  <c r="I5884" i="1"/>
  <c r="H5884" i="1"/>
  <c r="I5883" i="1"/>
  <c r="H5883" i="1"/>
  <c r="I5882" i="1"/>
  <c r="H5882" i="1"/>
  <c r="I5881" i="1"/>
  <c r="H5881" i="1"/>
  <c r="I5880" i="1"/>
  <c r="H5880" i="1"/>
  <c r="I5879" i="1"/>
  <c r="H5879" i="1"/>
  <c r="I5878" i="1"/>
  <c r="H5878" i="1"/>
  <c r="I5877" i="1"/>
  <c r="H5877" i="1"/>
  <c r="I5876" i="1"/>
  <c r="H5876" i="1"/>
  <c r="I5875" i="1"/>
  <c r="H5875" i="1"/>
  <c r="I5874" i="1"/>
  <c r="H5874" i="1"/>
  <c r="I5873" i="1"/>
  <c r="H5873" i="1"/>
  <c r="I5872" i="1"/>
  <c r="H5872" i="1"/>
  <c r="I5871" i="1"/>
  <c r="H5871" i="1"/>
  <c r="I5870" i="1"/>
  <c r="H5870" i="1"/>
  <c r="I5869" i="1"/>
  <c r="H5869" i="1"/>
  <c r="I5868" i="1"/>
  <c r="H5868" i="1"/>
  <c r="I5867" i="1"/>
  <c r="H5867" i="1"/>
  <c r="I5866" i="1"/>
  <c r="H5866" i="1"/>
  <c r="I5865" i="1"/>
  <c r="H5865" i="1"/>
  <c r="I5864" i="1"/>
  <c r="H5864" i="1"/>
  <c r="I5863" i="1"/>
  <c r="H5863" i="1"/>
  <c r="I5862" i="1"/>
  <c r="H5862" i="1"/>
  <c r="I5861" i="1"/>
  <c r="H5861" i="1"/>
  <c r="I5860" i="1"/>
  <c r="H5860" i="1"/>
  <c r="I5859" i="1"/>
  <c r="H5859" i="1"/>
  <c r="I5858" i="1"/>
  <c r="H5858" i="1"/>
  <c r="I5857" i="1"/>
  <c r="H5857" i="1"/>
  <c r="I5856" i="1"/>
  <c r="H5856" i="1"/>
  <c r="I5855" i="1"/>
  <c r="H5855" i="1"/>
  <c r="I5854" i="1"/>
  <c r="H5854" i="1"/>
  <c r="I5853" i="1"/>
  <c r="H5853" i="1"/>
  <c r="I5852" i="1"/>
  <c r="H5852" i="1"/>
  <c r="I5851" i="1"/>
  <c r="H5851" i="1"/>
  <c r="I5850" i="1"/>
  <c r="H5850" i="1"/>
  <c r="I5849" i="1"/>
  <c r="H5849" i="1"/>
  <c r="I5848" i="1"/>
  <c r="H5848" i="1"/>
  <c r="I5847" i="1"/>
  <c r="H5847" i="1"/>
  <c r="I5846" i="1"/>
  <c r="H5846" i="1"/>
  <c r="I5845" i="1"/>
  <c r="H5845" i="1"/>
  <c r="I5844" i="1"/>
  <c r="H5844" i="1"/>
  <c r="I5843" i="1"/>
  <c r="H5843" i="1"/>
  <c r="I5842" i="1"/>
  <c r="H5842" i="1"/>
  <c r="I5841" i="1"/>
  <c r="H5841" i="1"/>
  <c r="I5840" i="1"/>
  <c r="H5840" i="1"/>
  <c r="I5839" i="1"/>
  <c r="H5839" i="1"/>
  <c r="I5838" i="1"/>
  <c r="H5838" i="1"/>
  <c r="I5837" i="1"/>
  <c r="H5837" i="1"/>
  <c r="I5836" i="1"/>
  <c r="H5836" i="1"/>
  <c r="I5835" i="1"/>
  <c r="H5835" i="1"/>
  <c r="I5834" i="1"/>
  <c r="H5834" i="1"/>
  <c r="I5833" i="1"/>
  <c r="H5833" i="1"/>
  <c r="I5832" i="1"/>
  <c r="H5832" i="1"/>
  <c r="I5831" i="1"/>
  <c r="H5831" i="1"/>
  <c r="I5830" i="1"/>
  <c r="H5830" i="1"/>
  <c r="I5829" i="1"/>
  <c r="H5829" i="1"/>
  <c r="I5828" i="1"/>
  <c r="H5828" i="1"/>
  <c r="I5827" i="1"/>
  <c r="H5827" i="1"/>
  <c r="I5826" i="1"/>
  <c r="H5826" i="1"/>
  <c r="I5825" i="1"/>
  <c r="H5825" i="1"/>
  <c r="I5824" i="1"/>
  <c r="H5824" i="1"/>
  <c r="I5823" i="1"/>
  <c r="H5823" i="1"/>
  <c r="I5822" i="1"/>
  <c r="H5822" i="1"/>
  <c r="I5821" i="1"/>
  <c r="H5821" i="1"/>
  <c r="I5820" i="1"/>
  <c r="H5820" i="1"/>
  <c r="I5819" i="1"/>
  <c r="H5819" i="1"/>
  <c r="I5818" i="1"/>
  <c r="H5818" i="1"/>
  <c r="I5817" i="1"/>
  <c r="H5817" i="1"/>
  <c r="I5816" i="1"/>
  <c r="H5816" i="1"/>
  <c r="I5815" i="1"/>
  <c r="H5815" i="1"/>
  <c r="I5814" i="1"/>
  <c r="H5814" i="1"/>
  <c r="I5813" i="1"/>
  <c r="H5813" i="1"/>
  <c r="I5812" i="1"/>
  <c r="H5812" i="1"/>
  <c r="I5811" i="1"/>
  <c r="H5811" i="1"/>
  <c r="I5810" i="1"/>
  <c r="H5810" i="1"/>
  <c r="I5809" i="1"/>
  <c r="H5809" i="1"/>
  <c r="I5808" i="1"/>
  <c r="H5808" i="1"/>
  <c r="I5807" i="1"/>
  <c r="H5807" i="1"/>
  <c r="I5806" i="1"/>
  <c r="H5806" i="1"/>
  <c r="I5805" i="1"/>
  <c r="H5805" i="1"/>
  <c r="I5804" i="1"/>
  <c r="H5804" i="1"/>
  <c r="I5803" i="1"/>
  <c r="H5803" i="1"/>
  <c r="I5802" i="1"/>
  <c r="H5802" i="1"/>
  <c r="I5801" i="1"/>
  <c r="H5801" i="1"/>
  <c r="I5800" i="1"/>
  <c r="H5800" i="1"/>
  <c r="I5799" i="1"/>
  <c r="H5799" i="1"/>
  <c r="I5798" i="1"/>
  <c r="H5798" i="1"/>
  <c r="I5797" i="1"/>
  <c r="H5797" i="1"/>
  <c r="I5796" i="1"/>
  <c r="H5796" i="1"/>
  <c r="I5795" i="1"/>
  <c r="H5795" i="1"/>
  <c r="I5794" i="1"/>
  <c r="H5794" i="1"/>
  <c r="I5793" i="1"/>
  <c r="H5793" i="1"/>
  <c r="I5792" i="1"/>
  <c r="H5792" i="1"/>
  <c r="I5791" i="1"/>
  <c r="H5791" i="1"/>
  <c r="I5790" i="1"/>
  <c r="H5790" i="1"/>
  <c r="I5789" i="1"/>
  <c r="H5789" i="1"/>
  <c r="I5788" i="1"/>
  <c r="H5788" i="1"/>
  <c r="I5787" i="1"/>
  <c r="H5787" i="1"/>
  <c r="I5786" i="1"/>
  <c r="H5786" i="1"/>
  <c r="I5785" i="1"/>
  <c r="H5785" i="1"/>
  <c r="I5784" i="1"/>
  <c r="H5784" i="1"/>
  <c r="I5783" i="1"/>
  <c r="H5783" i="1"/>
  <c r="I5782" i="1"/>
  <c r="H5782" i="1"/>
  <c r="I5781" i="1"/>
  <c r="H5781" i="1"/>
  <c r="I5780" i="1"/>
  <c r="H5780" i="1"/>
  <c r="I5779" i="1"/>
  <c r="H5779" i="1"/>
  <c r="I5778" i="1"/>
  <c r="H5778" i="1"/>
  <c r="I5777" i="1"/>
  <c r="H5777" i="1"/>
  <c r="I5776" i="1"/>
  <c r="H5776" i="1"/>
  <c r="I5775" i="1"/>
  <c r="H5775" i="1"/>
  <c r="I5774" i="1"/>
  <c r="H5774" i="1"/>
  <c r="I5773" i="1"/>
  <c r="H5773" i="1"/>
  <c r="I5772" i="1"/>
  <c r="H5772" i="1"/>
  <c r="I5771" i="1"/>
  <c r="H5771" i="1"/>
  <c r="I5770" i="1"/>
  <c r="H5770" i="1"/>
  <c r="I5769" i="1"/>
  <c r="H5769" i="1"/>
  <c r="I5768" i="1"/>
  <c r="H5768" i="1"/>
  <c r="I5767" i="1"/>
  <c r="H5767" i="1"/>
  <c r="I5766" i="1"/>
  <c r="H5766" i="1"/>
  <c r="I5765" i="1"/>
  <c r="H5765" i="1"/>
  <c r="I5764" i="1"/>
  <c r="H5764" i="1"/>
  <c r="I5763" i="1"/>
  <c r="H5763" i="1"/>
  <c r="I5762" i="1"/>
  <c r="H5762" i="1"/>
  <c r="I5761" i="1"/>
  <c r="H5761" i="1"/>
  <c r="I5760" i="1"/>
  <c r="H5760" i="1"/>
  <c r="I5759" i="1"/>
  <c r="H5759" i="1"/>
  <c r="I5758" i="1"/>
  <c r="H5758" i="1"/>
  <c r="I5757" i="1"/>
  <c r="H5757" i="1"/>
  <c r="I5756" i="1"/>
  <c r="H5756" i="1"/>
  <c r="I5755" i="1"/>
  <c r="H5755" i="1"/>
  <c r="I5754" i="1"/>
  <c r="H5754" i="1"/>
  <c r="I5753" i="1"/>
  <c r="H5753" i="1"/>
  <c r="I5752" i="1"/>
  <c r="H5752" i="1"/>
  <c r="I5751" i="1"/>
  <c r="H5751" i="1"/>
  <c r="I5750" i="1"/>
  <c r="H5750" i="1"/>
  <c r="I5749" i="1"/>
  <c r="H5749" i="1"/>
  <c r="I5748" i="1"/>
  <c r="H5748" i="1"/>
  <c r="I5747" i="1"/>
  <c r="H5747" i="1"/>
  <c r="I5746" i="1"/>
  <c r="H5746" i="1"/>
  <c r="I5745" i="1"/>
  <c r="H5745" i="1"/>
  <c r="I5744" i="1"/>
  <c r="H5744" i="1"/>
  <c r="I5743" i="1"/>
  <c r="H5743" i="1"/>
  <c r="I5742" i="1"/>
  <c r="H5742" i="1"/>
  <c r="I5741" i="1"/>
  <c r="H5741" i="1"/>
  <c r="I5740" i="1"/>
  <c r="H5740" i="1"/>
  <c r="I5739" i="1"/>
  <c r="H5739" i="1"/>
  <c r="I5738" i="1"/>
  <c r="H5738" i="1"/>
  <c r="I5737" i="1"/>
  <c r="H5737" i="1"/>
  <c r="I5736" i="1"/>
  <c r="H5736" i="1"/>
  <c r="I5735" i="1"/>
  <c r="H5735" i="1"/>
  <c r="I5734" i="1"/>
  <c r="H5734" i="1"/>
  <c r="I5733" i="1"/>
  <c r="H5733" i="1"/>
  <c r="I5732" i="1"/>
  <c r="H5732" i="1"/>
  <c r="I5731" i="1"/>
  <c r="H5731" i="1"/>
  <c r="I5730" i="1"/>
  <c r="H5730" i="1"/>
  <c r="I5729" i="1"/>
  <c r="H5729" i="1"/>
  <c r="I5728" i="1"/>
  <c r="H5728" i="1"/>
  <c r="I5727" i="1"/>
  <c r="H5727" i="1"/>
  <c r="I5726" i="1"/>
  <c r="H5726" i="1"/>
  <c r="I5725" i="1"/>
  <c r="H5725" i="1"/>
  <c r="I5724" i="1"/>
  <c r="H5724" i="1"/>
  <c r="I5723" i="1"/>
  <c r="H5723" i="1"/>
  <c r="I5722" i="1"/>
  <c r="H5722" i="1"/>
  <c r="I5721" i="1"/>
  <c r="H5721" i="1"/>
  <c r="I5720" i="1"/>
  <c r="H5720" i="1"/>
  <c r="I5719" i="1"/>
  <c r="H5719" i="1"/>
  <c r="I5718" i="1"/>
  <c r="H5718" i="1"/>
  <c r="I5717" i="1"/>
  <c r="H5717" i="1"/>
  <c r="I5716" i="1"/>
  <c r="H5716" i="1"/>
  <c r="I5715" i="1"/>
  <c r="H5715" i="1"/>
  <c r="I5714" i="1"/>
  <c r="H5714" i="1"/>
  <c r="I5713" i="1"/>
  <c r="H5713" i="1"/>
  <c r="I5712" i="1"/>
  <c r="H5712" i="1"/>
  <c r="I5711" i="1"/>
  <c r="H5711" i="1"/>
  <c r="I5710" i="1"/>
  <c r="H5710" i="1"/>
  <c r="I5709" i="1"/>
  <c r="H5709" i="1"/>
  <c r="I5708" i="1"/>
  <c r="H5708" i="1"/>
  <c r="I5707" i="1"/>
  <c r="H5707" i="1"/>
  <c r="I5706" i="1"/>
  <c r="H5706" i="1"/>
  <c r="I5705" i="1"/>
  <c r="H5705" i="1"/>
  <c r="I5704" i="1"/>
  <c r="H5704" i="1"/>
  <c r="I5703" i="1"/>
  <c r="H5703" i="1"/>
  <c r="I5702" i="1"/>
  <c r="H5702" i="1"/>
  <c r="I5701" i="1"/>
  <c r="H5701" i="1"/>
  <c r="I5700" i="1"/>
  <c r="H5700" i="1"/>
  <c r="I5699" i="1"/>
  <c r="H5699" i="1"/>
  <c r="I5698" i="1"/>
  <c r="H5698" i="1"/>
  <c r="I5697" i="1"/>
  <c r="H5697" i="1"/>
  <c r="I5696" i="1"/>
  <c r="H5696" i="1"/>
  <c r="I5695" i="1"/>
  <c r="H5695" i="1"/>
  <c r="I5694" i="1"/>
  <c r="H5694" i="1"/>
  <c r="I5693" i="1"/>
  <c r="H5693" i="1"/>
  <c r="I5692" i="1"/>
  <c r="H5692" i="1"/>
  <c r="I5691" i="1"/>
  <c r="H5691" i="1"/>
  <c r="I5690" i="1"/>
  <c r="H5690" i="1"/>
  <c r="I5689" i="1"/>
  <c r="H5689" i="1"/>
  <c r="I5688" i="1"/>
  <c r="H5688" i="1"/>
  <c r="I5687" i="1"/>
  <c r="H5687" i="1"/>
  <c r="I5686" i="1"/>
  <c r="H5686" i="1"/>
  <c r="I5685" i="1"/>
  <c r="H5685" i="1"/>
  <c r="I5684" i="1"/>
  <c r="H5684" i="1"/>
  <c r="I5683" i="1"/>
  <c r="H5683" i="1"/>
  <c r="I5682" i="1"/>
  <c r="H5682" i="1"/>
  <c r="I5681" i="1"/>
  <c r="H5681" i="1"/>
  <c r="I5680" i="1"/>
  <c r="H5680" i="1"/>
  <c r="I5679" i="1"/>
  <c r="H5679" i="1"/>
  <c r="I5678" i="1"/>
  <c r="H5678" i="1"/>
  <c r="I5677" i="1"/>
  <c r="H5677" i="1"/>
  <c r="I5676" i="1"/>
  <c r="H5676" i="1"/>
  <c r="I5675" i="1"/>
  <c r="H5675" i="1"/>
  <c r="I5674" i="1"/>
  <c r="H5674" i="1"/>
  <c r="I5673" i="1"/>
  <c r="H5673" i="1"/>
  <c r="I5672" i="1"/>
  <c r="H5672" i="1"/>
  <c r="I5671" i="1"/>
  <c r="H5671" i="1"/>
  <c r="I5670" i="1"/>
  <c r="H5670" i="1"/>
  <c r="I5669" i="1"/>
  <c r="H5669" i="1"/>
  <c r="I5668" i="1"/>
  <c r="H5668" i="1"/>
  <c r="I5667" i="1"/>
  <c r="H5667" i="1"/>
  <c r="I5666" i="1"/>
  <c r="H5666" i="1"/>
  <c r="I5665" i="1"/>
  <c r="H5665" i="1"/>
  <c r="I5664" i="1"/>
  <c r="H5664" i="1"/>
  <c r="I5663" i="1"/>
  <c r="H5663" i="1"/>
  <c r="I5662" i="1"/>
  <c r="H5662" i="1"/>
  <c r="I5661" i="1"/>
  <c r="H5661" i="1"/>
  <c r="I5660" i="1"/>
  <c r="H5660" i="1"/>
  <c r="I5659" i="1"/>
  <c r="H5659" i="1"/>
  <c r="I5658" i="1"/>
  <c r="H5658" i="1"/>
  <c r="I5657" i="1"/>
  <c r="H5657" i="1"/>
  <c r="I5656" i="1"/>
  <c r="H5656" i="1"/>
  <c r="I5655" i="1"/>
  <c r="H5655" i="1"/>
  <c r="I5654" i="1"/>
  <c r="H5654" i="1"/>
  <c r="I5653" i="1"/>
  <c r="H5653" i="1"/>
  <c r="I5652" i="1"/>
  <c r="H5652" i="1"/>
  <c r="I5651" i="1"/>
  <c r="H5651" i="1"/>
  <c r="I5650" i="1"/>
  <c r="H5650" i="1"/>
  <c r="I5649" i="1"/>
  <c r="H5649" i="1"/>
  <c r="I5648" i="1"/>
  <c r="H5648" i="1"/>
  <c r="I5647" i="1"/>
  <c r="H5647" i="1"/>
  <c r="I5646" i="1"/>
  <c r="H5646" i="1"/>
  <c r="I5645" i="1"/>
  <c r="H5645" i="1"/>
  <c r="I5644" i="1"/>
  <c r="H5644" i="1"/>
  <c r="I5643" i="1"/>
  <c r="H5643" i="1"/>
  <c r="I5642" i="1"/>
  <c r="H5642" i="1"/>
  <c r="I5641" i="1"/>
  <c r="H5641" i="1"/>
  <c r="I5640" i="1"/>
  <c r="H5640" i="1"/>
  <c r="I5639" i="1"/>
  <c r="H5639" i="1"/>
  <c r="I5638" i="1"/>
  <c r="H5638" i="1"/>
  <c r="I5637" i="1"/>
  <c r="H5637" i="1"/>
  <c r="I5636" i="1"/>
  <c r="H5636" i="1"/>
  <c r="I5635" i="1"/>
  <c r="H5635" i="1"/>
  <c r="I5634" i="1"/>
  <c r="H5634" i="1"/>
  <c r="I5633" i="1"/>
  <c r="H5633" i="1"/>
  <c r="I5632" i="1"/>
  <c r="H5632" i="1"/>
  <c r="I5631" i="1"/>
  <c r="H5631" i="1"/>
  <c r="I5630" i="1"/>
  <c r="H5630" i="1"/>
  <c r="I5629" i="1"/>
  <c r="H5629" i="1"/>
  <c r="I5628" i="1"/>
  <c r="H5628" i="1"/>
  <c r="I5627" i="1"/>
  <c r="H5627" i="1"/>
  <c r="I5626" i="1"/>
  <c r="H5626" i="1"/>
  <c r="I5625" i="1"/>
  <c r="H5625" i="1"/>
  <c r="I5624" i="1"/>
  <c r="H5624" i="1"/>
  <c r="I5623" i="1"/>
  <c r="H5623" i="1"/>
  <c r="I5622" i="1"/>
  <c r="H5622" i="1"/>
  <c r="I5621" i="1"/>
  <c r="H5621" i="1"/>
  <c r="I5620" i="1"/>
  <c r="H5620" i="1"/>
  <c r="I5619" i="1"/>
  <c r="H5619" i="1"/>
  <c r="I5618" i="1"/>
  <c r="H5618" i="1"/>
  <c r="I5617" i="1"/>
  <c r="H5617" i="1"/>
  <c r="I5616" i="1"/>
  <c r="H5616" i="1"/>
  <c r="I5615" i="1"/>
  <c r="H5615" i="1"/>
  <c r="I5614" i="1"/>
  <c r="H5614" i="1"/>
  <c r="I5613" i="1"/>
  <c r="H5613" i="1"/>
  <c r="I5612" i="1"/>
  <c r="H5612" i="1"/>
  <c r="I5611" i="1"/>
  <c r="H5611" i="1"/>
  <c r="I5610" i="1"/>
  <c r="H5610" i="1"/>
  <c r="I5609" i="1"/>
  <c r="H5609" i="1"/>
  <c r="I5608" i="1"/>
  <c r="H5608" i="1"/>
  <c r="I5607" i="1"/>
  <c r="H5607" i="1"/>
  <c r="I5606" i="1"/>
  <c r="H5606" i="1"/>
  <c r="I5605" i="1"/>
  <c r="H5605" i="1"/>
  <c r="I5604" i="1"/>
  <c r="H5604" i="1"/>
  <c r="I5603" i="1"/>
  <c r="H5603" i="1"/>
  <c r="I5602" i="1"/>
  <c r="H5602" i="1"/>
  <c r="I5601" i="1"/>
  <c r="H5601" i="1"/>
  <c r="I5600" i="1"/>
  <c r="H5600" i="1"/>
  <c r="I5599" i="1"/>
  <c r="H5599" i="1"/>
  <c r="I5598" i="1"/>
  <c r="H5598" i="1"/>
  <c r="I5597" i="1"/>
  <c r="H5597" i="1"/>
  <c r="I5596" i="1"/>
  <c r="H5596" i="1"/>
  <c r="I5595" i="1"/>
  <c r="H5595" i="1"/>
  <c r="I5594" i="1"/>
  <c r="H5594" i="1"/>
  <c r="I5593" i="1"/>
  <c r="H5593" i="1"/>
  <c r="I5592" i="1"/>
  <c r="H5592" i="1"/>
  <c r="I5591" i="1"/>
  <c r="H5591" i="1"/>
  <c r="I5590" i="1"/>
  <c r="H5590" i="1"/>
  <c r="I5589" i="1"/>
  <c r="H5589" i="1"/>
  <c r="I5588" i="1"/>
  <c r="H5588" i="1"/>
  <c r="I5587" i="1"/>
  <c r="H5587" i="1"/>
  <c r="I5586" i="1"/>
  <c r="H5586" i="1"/>
  <c r="I5585" i="1"/>
  <c r="H5585" i="1"/>
  <c r="I5584" i="1"/>
  <c r="H5584" i="1"/>
  <c r="I5583" i="1"/>
  <c r="H5583" i="1"/>
  <c r="I5582" i="1"/>
  <c r="H5582" i="1"/>
  <c r="I5581" i="1"/>
  <c r="H5581" i="1"/>
  <c r="I5580" i="1"/>
  <c r="H5580" i="1"/>
  <c r="I5579" i="1"/>
  <c r="H5579" i="1"/>
  <c r="I5578" i="1"/>
  <c r="H5578" i="1"/>
  <c r="I5577" i="1"/>
  <c r="H5577" i="1"/>
  <c r="I5576" i="1"/>
  <c r="H5576" i="1"/>
  <c r="I5575" i="1"/>
  <c r="H5575" i="1"/>
  <c r="I5574" i="1"/>
  <c r="H5574" i="1"/>
  <c r="I5573" i="1"/>
  <c r="H5573" i="1"/>
  <c r="I5572" i="1"/>
  <c r="H5572" i="1"/>
  <c r="I5571" i="1"/>
  <c r="H5571" i="1"/>
  <c r="I5570" i="1"/>
  <c r="H5570" i="1"/>
  <c r="I5569" i="1"/>
  <c r="H5569" i="1"/>
  <c r="I5568" i="1"/>
  <c r="H5568" i="1"/>
  <c r="I5567" i="1"/>
  <c r="H5567" i="1"/>
  <c r="I5566" i="1"/>
  <c r="H5566" i="1"/>
  <c r="I5565" i="1"/>
  <c r="H5565" i="1"/>
  <c r="I5564" i="1"/>
  <c r="H5564" i="1"/>
  <c r="I5563" i="1"/>
  <c r="H5563" i="1"/>
  <c r="I5562" i="1"/>
  <c r="H5562" i="1"/>
  <c r="I5561" i="1"/>
  <c r="H5561" i="1"/>
  <c r="I5560" i="1"/>
  <c r="H5560" i="1"/>
  <c r="I5559" i="1"/>
  <c r="H5559" i="1"/>
  <c r="I5558" i="1"/>
  <c r="H5558" i="1"/>
  <c r="I5557" i="1"/>
  <c r="H5557" i="1"/>
  <c r="I5556" i="1"/>
  <c r="H5556" i="1"/>
  <c r="I5555" i="1"/>
  <c r="H5555" i="1"/>
  <c r="I5554" i="1"/>
  <c r="H5554" i="1"/>
  <c r="I5553" i="1"/>
  <c r="H5553" i="1"/>
  <c r="I5552" i="1"/>
  <c r="H5552" i="1"/>
  <c r="I5551" i="1"/>
  <c r="H5551" i="1"/>
  <c r="I5550" i="1"/>
  <c r="H5550" i="1"/>
  <c r="I5549" i="1"/>
  <c r="H5549" i="1"/>
  <c r="I5548" i="1"/>
  <c r="H5548" i="1"/>
  <c r="I5547" i="1"/>
  <c r="H5547" i="1"/>
  <c r="I5546" i="1"/>
  <c r="H5546" i="1"/>
  <c r="I5545" i="1"/>
  <c r="H5545" i="1"/>
  <c r="I5544" i="1"/>
  <c r="H5544" i="1"/>
  <c r="I5543" i="1"/>
  <c r="H5543" i="1"/>
  <c r="I5542" i="1"/>
  <c r="H5542" i="1"/>
  <c r="I5541" i="1"/>
  <c r="H5541" i="1"/>
  <c r="I5540" i="1"/>
  <c r="H5540" i="1"/>
  <c r="I5539" i="1"/>
  <c r="H5539" i="1"/>
  <c r="I5538" i="1"/>
  <c r="H5538" i="1"/>
  <c r="I5537" i="1"/>
  <c r="H5537" i="1"/>
  <c r="I5536" i="1"/>
  <c r="H5536" i="1"/>
  <c r="I5535" i="1"/>
  <c r="H5535" i="1"/>
  <c r="I5534" i="1"/>
  <c r="H5534" i="1"/>
  <c r="I5533" i="1"/>
  <c r="H5533" i="1"/>
  <c r="I5532" i="1"/>
  <c r="H5532" i="1"/>
  <c r="I5531" i="1"/>
  <c r="H5531" i="1"/>
  <c r="I5530" i="1"/>
  <c r="H5530" i="1"/>
  <c r="I5529" i="1"/>
  <c r="H5529" i="1"/>
  <c r="I5528" i="1"/>
  <c r="H5528" i="1"/>
  <c r="I5527" i="1"/>
  <c r="H5527" i="1"/>
  <c r="I5526" i="1"/>
  <c r="H5526" i="1"/>
  <c r="I5525" i="1"/>
  <c r="H5525" i="1"/>
  <c r="I5524" i="1"/>
  <c r="H5524" i="1"/>
  <c r="I5523" i="1"/>
  <c r="H5523" i="1"/>
  <c r="I5522" i="1"/>
  <c r="H5522" i="1"/>
  <c r="I5521" i="1"/>
  <c r="H5521" i="1"/>
  <c r="I5520" i="1"/>
  <c r="H5520" i="1"/>
  <c r="I5519" i="1"/>
  <c r="H5519" i="1"/>
  <c r="I5518" i="1"/>
  <c r="H5518" i="1"/>
  <c r="I5517" i="1"/>
  <c r="H5517" i="1"/>
  <c r="I5516" i="1"/>
  <c r="H5516" i="1"/>
  <c r="I5515" i="1"/>
  <c r="H5515" i="1"/>
  <c r="I5514" i="1"/>
  <c r="H5514" i="1"/>
  <c r="I5513" i="1"/>
  <c r="H5513" i="1"/>
  <c r="I5512" i="1"/>
  <c r="H5512" i="1"/>
  <c r="I5511" i="1"/>
  <c r="H5511" i="1"/>
  <c r="I5510" i="1"/>
  <c r="H5510" i="1"/>
  <c r="I5509" i="1"/>
  <c r="H5509" i="1"/>
  <c r="I5508" i="1"/>
  <c r="H5508" i="1"/>
  <c r="I5507" i="1"/>
  <c r="H5507" i="1"/>
  <c r="I5506" i="1"/>
  <c r="H5506" i="1"/>
  <c r="I5505" i="1"/>
  <c r="H5505" i="1"/>
  <c r="I5504" i="1"/>
  <c r="H5504" i="1"/>
  <c r="I5503" i="1"/>
  <c r="H5503" i="1"/>
  <c r="I5502" i="1"/>
  <c r="H5502" i="1"/>
  <c r="I5501" i="1"/>
  <c r="H5501" i="1"/>
  <c r="I5500" i="1"/>
  <c r="H5500" i="1"/>
  <c r="I5499" i="1"/>
  <c r="H5499" i="1"/>
  <c r="I5498" i="1"/>
  <c r="H5498" i="1"/>
  <c r="I5497" i="1"/>
  <c r="H5497" i="1"/>
  <c r="I5496" i="1"/>
  <c r="H5496" i="1"/>
  <c r="I5495" i="1"/>
  <c r="H5495" i="1"/>
  <c r="I5494" i="1"/>
  <c r="H5494" i="1"/>
  <c r="I5493" i="1"/>
  <c r="H5493" i="1"/>
  <c r="I5492" i="1"/>
  <c r="H5492" i="1"/>
  <c r="I5491" i="1"/>
  <c r="H5491" i="1"/>
  <c r="I5490" i="1"/>
  <c r="H5490" i="1"/>
  <c r="I5489" i="1"/>
  <c r="H5489" i="1"/>
  <c r="I5488" i="1"/>
  <c r="H5488" i="1"/>
  <c r="I5487" i="1"/>
  <c r="H5487" i="1"/>
  <c r="I5486" i="1"/>
  <c r="H5486" i="1"/>
  <c r="I5485" i="1"/>
  <c r="H5485" i="1"/>
  <c r="I5484" i="1"/>
  <c r="H5484" i="1"/>
  <c r="I5483" i="1"/>
  <c r="H5483" i="1"/>
  <c r="I5482" i="1"/>
  <c r="H5482" i="1"/>
  <c r="I5481" i="1"/>
  <c r="H5481" i="1"/>
  <c r="I5480" i="1"/>
  <c r="H5480" i="1"/>
  <c r="I5479" i="1"/>
  <c r="H5479" i="1"/>
  <c r="I5478" i="1"/>
  <c r="H5478" i="1"/>
  <c r="I5477" i="1"/>
  <c r="H5477" i="1"/>
  <c r="I5476" i="1"/>
  <c r="H5476" i="1"/>
  <c r="I5475" i="1"/>
  <c r="H5475" i="1"/>
  <c r="I5474" i="1"/>
  <c r="H5474" i="1"/>
  <c r="I5473" i="1"/>
  <c r="H5473" i="1"/>
  <c r="I5472" i="1"/>
  <c r="H5472" i="1"/>
  <c r="I5471" i="1"/>
  <c r="H5471" i="1"/>
  <c r="I5470" i="1"/>
  <c r="H5470" i="1"/>
  <c r="I5469" i="1"/>
  <c r="H5469" i="1"/>
  <c r="I5468" i="1"/>
  <c r="H5468" i="1"/>
  <c r="I5467" i="1"/>
  <c r="H5467" i="1"/>
  <c r="I5466" i="1"/>
  <c r="H5466" i="1"/>
  <c r="I5465" i="1"/>
  <c r="H5465" i="1"/>
  <c r="I5464" i="1"/>
  <c r="H5464" i="1"/>
  <c r="I5463" i="1"/>
  <c r="H5463" i="1"/>
  <c r="I5462" i="1"/>
  <c r="H5462" i="1"/>
  <c r="I5461" i="1"/>
  <c r="H5461" i="1"/>
  <c r="I5460" i="1"/>
  <c r="H5460" i="1"/>
  <c r="I5459" i="1"/>
  <c r="H5459" i="1"/>
  <c r="I5458" i="1"/>
  <c r="H5458" i="1"/>
  <c r="I5457" i="1"/>
  <c r="H5457" i="1"/>
  <c r="I5456" i="1"/>
  <c r="H5456" i="1"/>
  <c r="I5455" i="1"/>
  <c r="H5455" i="1"/>
  <c r="I5454" i="1"/>
  <c r="H5454" i="1"/>
  <c r="I5453" i="1"/>
  <c r="H5453" i="1"/>
  <c r="I5452" i="1"/>
  <c r="H5452" i="1"/>
  <c r="I5451" i="1"/>
  <c r="H5451" i="1"/>
  <c r="I5450" i="1"/>
  <c r="H5450" i="1"/>
  <c r="I5449" i="1"/>
  <c r="H5449" i="1"/>
  <c r="I5448" i="1"/>
  <c r="H5448" i="1"/>
  <c r="I5447" i="1"/>
  <c r="H5447" i="1"/>
  <c r="I5446" i="1"/>
  <c r="H5446" i="1"/>
  <c r="I5445" i="1"/>
  <c r="H5445" i="1"/>
  <c r="I5444" i="1"/>
  <c r="H5444" i="1"/>
  <c r="I5443" i="1"/>
  <c r="H5443" i="1"/>
  <c r="I5442" i="1"/>
  <c r="H5442" i="1"/>
  <c r="I5441" i="1"/>
  <c r="H5441" i="1"/>
  <c r="I5440" i="1"/>
  <c r="H5440" i="1"/>
  <c r="I5439" i="1"/>
  <c r="H5439" i="1"/>
  <c r="I5438" i="1"/>
  <c r="H5438" i="1"/>
  <c r="I5437" i="1"/>
  <c r="H5437" i="1"/>
  <c r="I5436" i="1"/>
  <c r="H5436" i="1"/>
  <c r="I5435" i="1"/>
  <c r="H5435" i="1"/>
  <c r="I5434" i="1"/>
  <c r="H5434" i="1"/>
  <c r="I5433" i="1"/>
  <c r="H5433" i="1"/>
  <c r="I5432" i="1"/>
  <c r="H5432" i="1"/>
  <c r="I5431" i="1"/>
  <c r="H5431" i="1"/>
  <c r="I5430" i="1"/>
  <c r="H5430" i="1"/>
  <c r="I5429" i="1"/>
  <c r="H5429" i="1"/>
  <c r="I5428" i="1"/>
  <c r="H5428" i="1"/>
  <c r="I5427" i="1"/>
  <c r="H5427" i="1"/>
  <c r="I5426" i="1"/>
  <c r="H5426" i="1"/>
  <c r="I5425" i="1"/>
  <c r="H5425" i="1"/>
  <c r="I5424" i="1"/>
  <c r="H5424" i="1"/>
  <c r="I5423" i="1"/>
  <c r="H5423" i="1"/>
  <c r="I5422" i="1"/>
  <c r="H5422" i="1"/>
  <c r="I5421" i="1"/>
  <c r="H5421" i="1"/>
  <c r="I5420" i="1"/>
  <c r="H5420" i="1"/>
  <c r="I5419" i="1"/>
  <c r="H5419" i="1"/>
  <c r="I5418" i="1"/>
  <c r="H5418" i="1"/>
  <c r="I5417" i="1"/>
  <c r="H5417" i="1"/>
  <c r="I5416" i="1"/>
  <c r="H5416" i="1"/>
  <c r="I5415" i="1"/>
  <c r="H5415" i="1"/>
  <c r="I5414" i="1"/>
  <c r="H5414" i="1"/>
  <c r="I5413" i="1"/>
  <c r="H5413" i="1"/>
  <c r="I5412" i="1"/>
  <c r="H5412" i="1"/>
  <c r="I5411" i="1"/>
  <c r="H5411" i="1"/>
  <c r="I5410" i="1"/>
  <c r="H5410" i="1"/>
  <c r="I5409" i="1"/>
  <c r="H5409" i="1"/>
  <c r="I5408" i="1"/>
  <c r="H5408" i="1"/>
  <c r="I5407" i="1"/>
  <c r="H5407" i="1"/>
  <c r="I5406" i="1"/>
  <c r="H5406" i="1"/>
  <c r="I5405" i="1"/>
  <c r="H5405" i="1"/>
  <c r="I5404" i="1"/>
  <c r="H5404" i="1"/>
  <c r="I5403" i="1"/>
  <c r="H5403" i="1"/>
  <c r="I5402" i="1"/>
  <c r="H5402" i="1"/>
  <c r="I5401" i="1"/>
  <c r="H5401" i="1"/>
  <c r="I5400" i="1"/>
  <c r="H5400" i="1"/>
  <c r="I5399" i="1"/>
  <c r="H5399" i="1"/>
  <c r="I5398" i="1"/>
  <c r="H5398" i="1"/>
  <c r="I5397" i="1"/>
  <c r="H5397" i="1"/>
  <c r="I5396" i="1"/>
  <c r="H5396" i="1"/>
  <c r="I5395" i="1"/>
  <c r="H5395" i="1"/>
  <c r="I5394" i="1"/>
  <c r="H5394" i="1"/>
  <c r="I5393" i="1"/>
  <c r="H5393" i="1"/>
  <c r="I5392" i="1"/>
  <c r="H5392" i="1"/>
  <c r="I5391" i="1"/>
  <c r="H5391" i="1"/>
  <c r="I5390" i="1"/>
  <c r="H5390" i="1"/>
  <c r="I5389" i="1"/>
  <c r="H5389" i="1"/>
  <c r="I5388" i="1"/>
  <c r="H5388" i="1"/>
  <c r="I5387" i="1"/>
  <c r="H5387" i="1"/>
  <c r="I5386" i="1"/>
  <c r="H5386" i="1"/>
  <c r="I5385" i="1"/>
  <c r="H5385" i="1"/>
  <c r="I5384" i="1"/>
  <c r="H5384" i="1"/>
  <c r="I5383" i="1"/>
  <c r="H5383" i="1"/>
  <c r="I5382" i="1"/>
  <c r="H5382" i="1"/>
  <c r="I5381" i="1"/>
  <c r="H5381" i="1"/>
  <c r="I5380" i="1"/>
  <c r="H5380" i="1"/>
  <c r="I5379" i="1"/>
  <c r="H5379" i="1"/>
  <c r="I5378" i="1"/>
  <c r="H5378" i="1"/>
  <c r="I5377" i="1"/>
  <c r="H5377" i="1"/>
  <c r="I5376" i="1"/>
  <c r="H5376" i="1"/>
  <c r="I5375" i="1"/>
  <c r="H5375" i="1"/>
  <c r="I5374" i="1"/>
  <c r="H5374" i="1"/>
  <c r="I5373" i="1"/>
  <c r="H5373" i="1"/>
  <c r="I5372" i="1"/>
  <c r="H5372" i="1"/>
  <c r="I5371" i="1"/>
  <c r="H5371" i="1"/>
  <c r="I5370" i="1"/>
  <c r="H5370" i="1"/>
  <c r="I5369" i="1"/>
  <c r="H5369" i="1"/>
  <c r="I5368" i="1"/>
  <c r="H5368" i="1"/>
  <c r="I5367" i="1"/>
  <c r="H5367" i="1"/>
  <c r="I5366" i="1"/>
  <c r="H5366" i="1"/>
  <c r="I5365" i="1"/>
  <c r="H5365" i="1"/>
  <c r="I5364" i="1"/>
  <c r="H5364" i="1"/>
  <c r="I5363" i="1"/>
  <c r="H5363" i="1"/>
  <c r="I5362" i="1"/>
  <c r="H5362" i="1"/>
  <c r="I5361" i="1"/>
  <c r="H5361" i="1"/>
  <c r="I5360" i="1"/>
  <c r="H5360" i="1"/>
  <c r="I5359" i="1"/>
  <c r="H5359" i="1"/>
  <c r="I5358" i="1"/>
  <c r="H5358" i="1"/>
  <c r="I5357" i="1"/>
  <c r="H5357" i="1"/>
  <c r="I5356" i="1"/>
  <c r="H5356" i="1"/>
  <c r="I5355" i="1"/>
  <c r="H5355" i="1"/>
  <c r="I5354" i="1"/>
  <c r="H5354" i="1"/>
  <c r="I5353" i="1"/>
  <c r="H5353" i="1"/>
  <c r="I5352" i="1"/>
  <c r="H5352" i="1"/>
  <c r="I5351" i="1"/>
  <c r="H5351" i="1"/>
  <c r="I5350" i="1"/>
  <c r="H5350" i="1"/>
  <c r="I5349" i="1"/>
  <c r="H5349" i="1"/>
  <c r="I5348" i="1"/>
  <c r="H5348" i="1"/>
  <c r="I5347" i="1"/>
  <c r="H5347" i="1"/>
  <c r="I5346" i="1"/>
  <c r="H5346" i="1"/>
  <c r="I5345" i="1"/>
  <c r="H5345" i="1"/>
  <c r="I5344" i="1"/>
  <c r="H5344" i="1"/>
  <c r="I5343" i="1"/>
  <c r="H5343" i="1"/>
  <c r="I5342" i="1"/>
  <c r="H5342" i="1"/>
  <c r="I5341" i="1"/>
  <c r="H5341" i="1"/>
  <c r="I5340" i="1"/>
  <c r="H5340" i="1"/>
  <c r="I5339" i="1"/>
  <c r="H5339" i="1"/>
  <c r="I5338" i="1"/>
  <c r="H5338" i="1"/>
  <c r="I5337" i="1"/>
  <c r="H5337" i="1"/>
  <c r="I5336" i="1"/>
  <c r="H5336" i="1"/>
  <c r="I5335" i="1"/>
  <c r="H5335" i="1"/>
  <c r="I5334" i="1"/>
  <c r="H5334" i="1"/>
  <c r="I5333" i="1"/>
  <c r="H5333" i="1"/>
  <c r="I5332" i="1"/>
  <c r="H5332" i="1"/>
  <c r="I5331" i="1"/>
  <c r="H5331" i="1"/>
  <c r="I5330" i="1"/>
  <c r="H5330" i="1"/>
  <c r="I5329" i="1"/>
  <c r="H5329" i="1"/>
  <c r="I5328" i="1"/>
  <c r="H5328" i="1"/>
  <c r="I5327" i="1"/>
  <c r="H5327" i="1"/>
  <c r="I5326" i="1"/>
  <c r="H5326" i="1"/>
  <c r="I5325" i="1"/>
  <c r="H5325" i="1"/>
  <c r="I5324" i="1"/>
  <c r="H5324" i="1"/>
  <c r="I5323" i="1"/>
  <c r="H5323" i="1"/>
  <c r="I5322" i="1"/>
  <c r="H5322" i="1"/>
  <c r="I5321" i="1"/>
  <c r="H5321" i="1"/>
  <c r="I5320" i="1"/>
  <c r="H5320" i="1"/>
  <c r="I5319" i="1"/>
  <c r="H5319" i="1"/>
  <c r="I5318" i="1"/>
  <c r="H5318" i="1"/>
  <c r="I5317" i="1"/>
  <c r="H5317" i="1"/>
  <c r="I5316" i="1"/>
  <c r="H5316" i="1"/>
  <c r="I5315" i="1"/>
  <c r="H5315" i="1"/>
  <c r="I5314" i="1"/>
  <c r="H5314" i="1"/>
  <c r="I5313" i="1"/>
  <c r="H5313" i="1"/>
  <c r="I5312" i="1"/>
  <c r="H5312" i="1"/>
  <c r="I5311" i="1"/>
  <c r="H5311" i="1"/>
  <c r="I5310" i="1"/>
  <c r="H5310" i="1"/>
  <c r="I5309" i="1"/>
  <c r="H5309" i="1"/>
  <c r="I5308" i="1"/>
  <c r="H5308" i="1"/>
  <c r="I5307" i="1"/>
  <c r="H5307" i="1"/>
  <c r="I5306" i="1"/>
  <c r="H5306" i="1"/>
  <c r="I5305" i="1"/>
  <c r="H5305" i="1"/>
  <c r="I5304" i="1"/>
  <c r="H5304" i="1"/>
  <c r="I5303" i="1"/>
  <c r="H5303" i="1"/>
  <c r="I5302" i="1"/>
  <c r="H5302" i="1"/>
  <c r="I5301" i="1"/>
  <c r="H5301" i="1"/>
  <c r="I5300" i="1"/>
  <c r="H5300" i="1"/>
  <c r="I5299" i="1"/>
  <c r="H5299" i="1"/>
  <c r="I5298" i="1"/>
  <c r="H5298" i="1"/>
  <c r="I5297" i="1"/>
  <c r="H5297" i="1"/>
  <c r="I5296" i="1"/>
  <c r="H5296" i="1"/>
  <c r="I5295" i="1"/>
  <c r="H5295" i="1"/>
  <c r="I5294" i="1"/>
  <c r="H5294" i="1"/>
  <c r="I5293" i="1"/>
  <c r="H5293" i="1"/>
  <c r="I5292" i="1"/>
  <c r="H5292" i="1"/>
  <c r="I5291" i="1"/>
  <c r="H5291" i="1"/>
  <c r="I5290" i="1"/>
  <c r="H5290" i="1"/>
  <c r="I5289" i="1"/>
  <c r="H5289" i="1"/>
  <c r="I5288" i="1"/>
  <c r="H5288" i="1"/>
  <c r="I5287" i="1"/>
  <c r="H5287" i="1"/>
  <c r="I5286" i="1"/>
  <c r="H5286" i="1"/>
  <c r="I5285" i="1"/>
  <c r="H5285" i="1"/>
  <c r="I5284" i="1"/>
  <c r="H5284" i="1"/>
  <c r="I5283" i="1"/>
  <c r="H5283" i="1"/>
  <c r="I5282" i="1"/>
  <c r="H5282" i="1"/>
  <c r="I5281" i="1"/>
  <c r="H5281" i="1"/>
  <c r="I5280" i="1"/>
  <c r="H5280" i="1"/>
  <c r="I5279" i="1"/>
  <c r="H5279" i="1"/>
  <c r="I5278" i="1"/>
  <c r="H5278" i="1"/>
  <c r="I5277" i="1"/>
  <c r="H5277" i="1"/>
  <c r="I5276" i="1"/>
  <c r="H5276" i="1"/>
  <c r="I5275" i="1"/>
  <c r="H5275" i="1"/>
  <c r="I5274" i="1"/>
  <c r="H5274" i="1"/>
  <c r="I5273" i="1"/>
  <c r="H5273" i="1"/>
  <c r="I5272" i="1"/>
  <c r="H5272" i="1"/>
  <c r="I5271" i="1"/>
  <c r="H5271" i="1"/>
  <c r="I5270" i="1"/>
  <c r="H5270" i="1"/>
  <c r="I5269" i="1"/>
  <c r="H5269" i="1"/>
  <c r="I5268" i="1"/>
  <c r="H5268" i="1"/>
  <c r="I5267" i="1"/>
  <c r="H5267" i="1"/>
  <c r="I5266" i="1"/>
  <c r="H5266" i="1"/>
  <c r="I5265" i="1"/>
  <c r="H5265" i="1"/>
  <c r="I5264" i="1"/>
  <c r="H5264" i="1"/>
  <c r="I5263" i="1"/>
  <c r="H5263" i="1"/>
  <c r="I5262" i="1"/>
  <c r="H5262" i="1"/>
  <c r="I5261" i="1"/>
  <c r="H5261" i="1"/>
  <c r="I5260" i="1"/>
  <c r="H5260" i="1"/>
  <c r="I5259" i="1"/>
  <c r="H5259" i="1"/>
  <c r="I5258" i="1"/>
  <c r="H5258" i="1"/>
  <c r="I5257" i="1"/>
  <c r="H5257" i="1"/>
  <c r="I5256" i="1"/>
  <c r="H5256" i="1"/>
  <c r="I5255" i="1"/>
  <c r="H5255" i="1"/>
  <c r="I5254" i="1"/>
  <c r="H5254" i="1"/>
  <c r="I5253" i="1"/>
  <c r="H5253" i="1"/>
  <c r="I5252" i="1"/>
  <c r="H5252" i="1"/>
  <c r="I5251" i="1"/>
  <c r="H5251" i="1"/>
  <c r="I5250" i="1"/>
  <c r="H5250" i="1"/>
  <c r="I5249" i="1"/>
  <c r="H5249" i="1"/>
  <c r="I5248" i="1"/>
  <c r="H5248" i="1"/>
  <c r="I5247" i="1"/>
  <c r="H5247" i="1"/>
  <c r="I5246" i="1"/>
  <c r="H5246" i="1"/>
  <c r="I5245" i="1"/>
  <c r="H5245" i="1"/>
  <c r="I5244" i="1"/>
  <c r="H5244" i="1"/>
  <c r="I5243" i="1"/>
  <c r="H5243" i="1"/>
  <c r="I5242" i="1"/>
  <c r="H5242" i="1"/>
  <c r="I5241" i="1"/>
  <c r="H5241" i="1"/>
  <c r="I5240" i="1"/>
  <c r="H5240" i="1"/>
  <c r="I5239" i="1"/>
  <c r="H5239" i="1"/>
  <c r="I5238" i="1"/>
  <c r="H5238" i="1"/>
  <c r="I5237" i="1"/>
  <c r="H5237" i="1"/>
  <c r="I5236" i="1"/>
  <c r="H5236" i="1"/>
  <c r="I5235" i="1"/>
  <c r="H5235" i="1"/>
  <c r="I5234" i="1"/>
  <c r="H5234" i="1"/>
  <c r="I5233" i="1"/>
  <c r="H5233" i="1"/>
  <c r="I5232" i="1"/>
  <c r="H5232" i="1"/>
  <c r="I5231" i="1"/>
  <c r="H5231" i="1"/>
  <c r="I5230" i="1"/>
  <c r="H5230" i="1"/>
  <c r="I5229" i="1"/>
  <c r="H5229" i="1"/>
  <c r="I5228" i="1"/>
  <c r="H5228" i="1"/>
  <c r="I5227" i="1"/>
  <c r="H5227" i="1"/>
  <c r="I5226" i="1"/>
  <c r="H5226" i="1"/>
  <c r="I5225" i="1"/>
  <c r="H5225" i="1"/>
  <c r="I5224" i="1"/>
  <c r="H5224" i="1"/>
  <c r="I5223" i="1"/>
  <c r="H5223" i="1"/>
  <c r="I5222" i="1"/>
  <c r="H5222" i="1"/>
  <c r="I5221" i="1"/>
  <c r="H5221" i="1"/>
  <c r="I5220" i="1"/>
  <c r="H5220" i="1"/>
  <c r="I5219" i="1"/>
  <c r="H5219" i="1"/>
  <c r="I5218" i="1"/>
  <c r="H5218" i="1"/>
  <c r="I5217" i="1"/>
  <c r="H5217" i="1"/>
  <c r="I5216" i="1"/>
  <c r="H5216" i="1"/>
  <c r="I5215" i="1"/>
  <c r="H5215" i="1"/>
  <c r="I5214" i="1"/>
  <c r="H5214" i="1"/>
  <c r="I5213" i="1"/>
  <c r="H5213" i="1"/>
  <c r="I5212" i="1"/>
  <c r="H5212" i="1"/>
  <c r="I5211" i="1"/>
  <c r="H5211" i="1"/>
  <c r="I5210" i="1"/>
  <c r="H5210" i="1"/>
  <c r="I5209" i="1"/>
  <c r="H5209" i="1"/>
  <c r="I5208" i="1"/>
  <c r="H5208" i="1"/>
  <c r="I5207" i="1"/>
  <c r="H5207" i="1"/>
  <c r="I5206" i="1"/>
  <c r="H5206" i="1"/>
  <c r="I5205" i="1"/>
  <c r="H5205" i="1"/>
  <c r="I5204" i="1"/>
  <c r="H5204" i="1"/>
  <c r="I5203" i="1"/>
  <c r="H5203" i="1"/>
  <c r="I5202" i="1"/>
  <c r="H5202" i="1"/>
  <c r="I5201" i="1"/>
  <c r="H5201" i="1"/>
  <c r="I5200" i="1"/>
  <c r="H5200" i="1"/>
  <c r="I5199" i="1"/>
  <c r="H5199" i="1"/>
  <c r="I5198" i="1"/>
  <c r="H5198" i="1"/>
  <c r="I5197" i="1"/>
  <c r="H5197" i="1"/>
  <c r="I5196" i="1"/>
  <c r="H5196" i="1"/>
  <c r="I5195" i="1"/>
  <c r="H5195" i="1"/>
  <c r="I5194" i="1"/>
  <c r="H5194" i="1"/>
  <c r="I5193" i="1"/>
  <c r="H5193" i="1"/>
  <c r="I5192" i="1"/>
  <c r="H5192" i="1"/>
  <c r="I5191" i="1"/>
  <c r="H5191" i="1"/>
  <c r="I5190" i="1"/>
  <c r="H5190" i="1"/>
  <c r="I5189" i="1"/>
  <c r="H5189" i="1"/>
  <c r="I5188" i="1"/>
  <c r="H5188" i="1"/>
  <c r="I5187" i="1"/>
  <c r="H5187" i="1"/>
  <c r="I5186" i="1"/>
  <c r="H5186" i="1"/>
  <c r="I5185" i="1"/>
  <c r="H5185" i="1"/>
  <c r="I5184" i="1"/>
  <c r="H5184" i="1"/>
  <c r="I5183" i="1"/>
  <c r="H5183" i="1"/>
  <c r="I5182" i="1"/>
  <c r="H5182" i="1"/>
  <c r="I5181" i="1"/>
  <c r="H5181" i="1"/>
  <c r="I5180" i="1"/>
  <c r="H5180" i="1"/>
  <c r="I5179" i="1"/>
  <c r="H5179" i="1"/>
  <c r="I5178" i="1"/>
  <c r="H5178" i="1"/>
  <c r="I5177" i="1"/>
  <c r="H5177" i="1"/>
  <c r="I5176" i="1"/>
  <c r="H5176" i="1"/>
  <c r="I5175" i="1"/>
  <c r="H5175" i="1"/>
  <c r="I5174" i="1"/>
  <c r="H5174" i="1"/>
  <c r="I5173" i="1"/>
  <c r="H5173" i="1"/>
  <c r="I5172" i="1"/>
  <c r="H5172" i="1"/>
  <c r="I5171" i="1"/>
  <c r="H5171" i="1"/>
  <c r="I5170" i="1"/>
  <c r="H5170" i="1"/>
  <c r="I5169" i="1"/>
  <c r="H5169" i="1"/>
  <c r="I5168" i="1"/>
  <c r="H5168" i="1"/>
  <c r="I5167" i="1"/>
  <c r="H5167" i="1"/>
  <c r="I5166" i="1"/>
  <c r="H5166" i="1"/>
  <c r="I5165" i="1"/>
  <c r="H5165" i="1"/>
  <c r="I5164" i="1"/>
  <c r="H5164" i="1"/>
  <c r="I5163" i="1"/>
  <c r="H5163" i="1"/>
  <c r="I5162" i="1"/>
  <c r="H5162" i="1"/>
  <c r="I5161" i="1"/>
  <c r="H5161" i="1"/>
  <c r="I5160" i="1"/>
  <c r="H5160" i="1"/>
  <c r="I5159" i="1"/>
  <c r="H5159" i="1"/>
  <c r="I5158" i="1"/>
  <c r="H5158" i="1"/>
  <c r="I5157" i="1"/>
  <c r="H5157" i="1"/>
  <c r="I5156" i="1"/>
  <c r="H5156" i="1"/>
  <c r="I5155" i="1"/>
  <c r="H5155" i="1"/>
  <c r="I5154" i="1"/>
  <c r="H5154" i="1"/>
  <c r="I5153" i="1"/>
  <c r="H5153" i="1"/>
  <c r="I5152" i="1"/>
  <c r="H5152" i="1"/>
  <c r="I5151" i="1"/>
  <c r="H5151" i="1"/>
  <c r="I5150" i="1"/>
  <c r="H5150" i="1"/>
  <c r="I5149" i="1"/>
  <c r="H5149" i="1"/>
  <c r="I5148" i="1"/>
  <c r="H5148" i="1"/>
  <c r="I5147" i="1"/>
  <c r="H5147" i="1"/>
  <c r="I5146" i="1"/>
  <c r="H5146" i="1"/>
  <c r="I5145" i="1"/>
  <c r="H5145" i="1"/>
  <c r="I5144" i="1"/>
  <c r="H5144" i="1"/>
  <c r="I5143" i="1"/>
  <c r="H5143" i="1"/>
  <c r="I5142" i="1"/>
  <c r="H5142" i="1"/>
  <c r="I5141" i="1"/>
  <c r="H5141" i="1"/>
  <c r="I5140" i="1"/>
  <c r="H5140" i="1"/>
  <c r="I5139" i="1"/>
  <c r="H5139" i="1"/>
  <c r="I5138" i="1"/>
  <c r="H5138" i="1"/>
  <c r="I5137" i="1"/>
  <c r="H5137" i="1"/>
  <c r="I5136" i="1"/>
  <c r="H5136" i="1"/>
  <c r="I5135" i="1"/>
  <c r="H5135" i="1"/>
  <c r="I5134" i="1"/>
  <c r="H5134" i="1"/>
  <c r="I5133" i="1"/>
  <c r="H5133" i="1"/>
  <c r="I5132" i="1"/>
  <c r="H5132" i="1"/>
  <c r="I5131" i="1"/>
  <c r="H5131" i="1"/>
  <c r="I5130" i="1"/>
  <c r="H5130" i="1"/>
  <c r="I5129" i="1"/>
  <c r="H5129" i="1"/>
  <c r="I5128" i="1"/>
  <c r="H5128" i="1"/>
  <c r="I5127" i="1"/>
  <c r="H5127" i="1"/>
  <c r="I5126" i="1"/>
  <c r="H5126" i="1"/>
  <c r="I5125" i="1"/>
  <c r="H5125" i="1"/>
  <c r="I5124" i="1"/>
  <c r="H5124" i="1"/>
  <c r="I5123" i="1"/>
  <c r="H5123" i="1"/>
  <c r="I5122" i="1"/>
  <c r="H5122" i="1"/>
  <c r="I5121" i="1"/>
  <c r="H5121" i="1"/>
  <c r="I5120" i="1"/>
  <c r="H5120" i="1"/>
  <c r="I5119" i="1"/>
  <c r="H5119" i="1"/>
  <c r="I5118" i="1"/>
  <c r="H5118" i="1"/>
  <c r="I5117" i="1"/>
  <c r="H5117" i="1"/>
  <c r="I5116" i="1"/>
  <c r="H5116" i="1"/>
  <c r="I5115" i="1"/>
  <c r="H5115" i="1"/>
  <c r="I5114" i="1"/>
  <c r="H5114" i="1"/>
  <c r="I5113" i="1"/>
  <c r="H5113" i="1"/>
  <c r="I5112" i="1"/>
  <c r="H5112" i="1"/>
  <c r="I5111" i="1"/>
  <c r="H5111" i="1"/>
  <c r="I5110" i="1"/>
  <c r="H5110" i="1"/>
  <c r="I5109" i="1"/>
  <c r="H5109" i="1"/>
  <c r="I5108" i="1"/>
  <c r="H5108" i="1"/>
  <c r="I5107" i="1"/>
  <c r="H5107" i="1"/>
  <c r="I5106" i="1"/>
  <c r="H5106" i="1"/>
  <c r="I5105" i="1"/>
  <c r="H5105" i="1"/>
  <c r="I5104" i="1"/>
  <c r="H5104" i="1"/>
  <c r="I5103" i="1"/>
  <c r="H5103" i="1"/>
  <c r="I5102" i="1"/>
  <c r="H5102" i="1"/>
  <c r="I5101" i="1"/>
  <c r="H5101" i="1"/>
  <c r="I5100" i="1"/>
  <c r="H5100" i="1"/>
  <c r="I5099" i="1"/>
  <c r="H5099" i="1"/>
  <c r="I5098" i="1"/>
  <c r="H5098" i="1"/>
  <c r="I5097" i="1"/>
  <c r="H5097" i="1"/>
  <c r="I5096" i="1"/>
  <c r="H5096" i="1"/>
  <c r="I5095" i="1"/>
  <c r="H5095" i="1"/>
  <c r="I5094" i="1"/>
  <c r="H5094" i="1"/>
  <c r="I5093" i="1"/>
  <c r="H5093" i="1"/>
  <c r="I5092" i="1"/>
  <c r="H5092" i="1"/>
  <c r="I5091" i="1"/>
  <c r="H5091" i="1"/>
  <c r="I5090" i="1"/>
  <c r="H5090" i="1"/>
  <c r="I5089" i="1"/>
  <c r="H5089" i="1"/>
  <c r="I5088" i="1"/>
  <c r="H5088" i="1"/>
  <c r="I5087" i="1"/>
  <c r="H5087" i="1"/>
  <c r="I5086" i="1"/>
  <c r="H5086" i="1"/>
  <c r="I5085" i="1"/>
  <c r="H5085" i="1"/>
  <c r="I5084" i="1"/>
  <c r="H5084" i="1"/>
  <c r="I5083" i="1"/>
  <c r="H5083" i="1"/>
  <c r="I5082" i="1"/>
  <c r="H5082" i="1"/>
  <c r="I5081" i="1"/>
  <c r="H5081" i="1"/>
  <c r="I5080" i="1"/>
  <c r="H5080" i="1"/>
  <c r="I5079" i="1"/>
  <c r="H5079" i="1"/>
  <c r="I5078" i="1"/>
  <c r="H5078" i="1"/>
  <c r="I5077" i="1"/>
  <c r="H5077" i="1"/>
  <c r="I5076" i="1"/>
  <c r="H5076" i="1"/>
  <c r="I5075" i="1"/>
  <c r="H5075" i="1"/>
  <c r="I5074" i="1"/>
  <c r="H5074" i="1"/>
  <c r="I5073" i="1"/>
  <c r="H5073" i="1"/>
  <c r="I5072" i="1"/>
  <c r="H5072" i="1"/>
  <c r="I5071" i="1"/>
  <c r="H5071" i="1"/>
  <c r="I5070" i="1"/>
  <c r="H5070" i="1"/>
  <c r="I5069" i="1"/>
  <c r="H5069" i="1"/>
  <c r="I5068" i="1"/>
  <c r="H5068" i="1"/>
  <c r="I5067" i="1"/>
  <c r="H5067" i="1"/>
  <c r="I5066" i="1"/>
  <c r="H5066" i="1"/>
  <c r="I5065" i="1"/>
  <c r="H5065" i="1"/>
  <c r="I5064" i="1"/>
  <c r="H5064" i="1"/>
  <c r="I5063" i="1"/>
  <c r="H5063" i="1"/>
  <c r="I5062" i="1"/>
  <c r="H5062" i="1"/>
  <c r="I5061" i="1"/>
  <c r="H5061" i="1"/>
  <c r="I5060" i="1"/>
  <c r="H5060" i="1"/>
  <c r="I5059" i="1"/>
  <c r="H5059" i="1"/>
  <c r="I5058" i="1"/>
  <c r="H5058" i="1"/>
  <c r="I5057" i="1"/>
  <c r="H5057" i="1"/>
  <c r="I5056" i="1"/>
  <c r="H5056" i="1"/>
  <c r="I5055" i="1"/>
  <c r="H5055" i="1"/>
  <c r="I5054" i="1"/>
  <c r="H5054" i="1"/>
  <c r="I5053" i="1"/>
  <c r="H5053" i="1"/>
  <c r="I5052" i="1"/>
  <c r="H5052" i="1"/>
  <c r="I5051" i="1"/>
  <c r="H5051" i="1"/>
  <c r="I5050" i="1"/>
  <c r="H5050" i="1"/>
  <c r="I5049" i="1"/>
  <c r="H5049" i="1"/>
  <c r="I5048" i="1"/>
  <c r="H5048" i="1"/>
  <c r="I5047" i="1"/>
  <c r="H5047" i="1"/>
  <c r="I5046" i="1"/>
  <c r="H5046" i="1"/>
  <c r="I5045" i="1"/>
  <c r="H5045" i="1"/>
  <c r="I5044" i="1"/>
  <c r="H5044" i="1"/>
  <c r="I5043" i="1"/>
  <c r="H5043" i="1"/>
  <c r="I5042" i="1"/>
  <c r="H5042" i="1"/>
  <c r="I5041" i="1"/>
  <c r="H5041" i="1"/>
  <c r="I5040" i="1"/>
  <c r="H5040" i="1"/>
  <c r="I5039" i="1"/>
  <c r="H5039" i="1"/>
  <c r="I5038" i="1"/>
  <c r="H5038" i="1"/>
  <c r="I5037" i="1"/>
  <c r="H5037" i="1"/>
  <c r="I5036" i="1"/>
  <c r="H5036" i="1"/>
  <c r="I5035" i="1"/>
  <c r="H5035" i="1"/>
  <c r="I5034" i="1"/>
  <c r="H5034" i="1"/>
  <c r="I5033" i="1"/>
  <c r="H5033" i="1"/>
  <c r="I5032" i="1"/>
  <c r="H5032" i="1"/>
  <c r="I5031" i="1"/>
  <c r="H5031" i="1"/>
  <c r="I5030" i="1"/>
  <c r="H5030" i="1"/>
  <c r="I5029" i="1"/>
  <c r="H5029" i="1"/>
  <c r="I5028" i="1"/>
  <c r="H5028" i="1"/>
  <c r="I5027" i="1"/>
  <c r="H5027" i="1"/>
  <c r="I5026" i="1"/>
  <c r="H5026" i="1"/>
  <c r="I5025" i="1"/>
  <c r="H5025" i="1"/>
  <c r="I5024" i="1"/>
  <c r="H5024" i="1"/>
  <c r="I5023" i="1"/>
  <c r="H5023" i="1"/>
  <c r="I5022" i="1"/>
  <c r="H5022" i="1"/>
  <c r="I5021" i="1"/>
  <c r="H5021" i="1"/>
  <c r="I5020" i="1"/>
  <c r="H5020" i="1"/>
  <c r="I5019" i="1"/>
  <c r="H5019" i="1"/>
  <c r="I5018" i="1"/>
  <c r="H5018" i="1"/>
  <c r="I5017" i="1"/>
  <c r="H5017" i="1"/>
  <c r="I5016" i="1"/>
  <c r="H5016" i="1"/>
  <c r="I5015" i="1"/>
  <c r="H5015" i="1"/>
  <c r="I5014" i="1"/>
  <c r="H5014" i="1"/>
  <c r="I5013" i="1"/>
  <c r="H5013" i="1"/>
  <c r="I5012" i="1"/>
  <c r="H5012" i="1"/>
  <c r="I5011" i="1"/>
  <c r="H5011" i="1"/>
  <c r="I5010" i="1"/>
  <c r="H5010" i="1"/>
  <c r="I5009" i="1"/>
  <c r="H5009" i="1"/>
  <c r="I5008" i="1"/>
  <c r="H5008" i="1"/>
  <c r="I5007" i="1"/>
  <c r="H5007" i="1"/>
  <c r="I5006" i="1"/>
  <c r="H5006" i="1"/>
  <c r="I5005" i="1"/>
  <c r="H5005" i="1"/>
  <c r="I5004" i="1"/>
  <c r="H5004" i="1"/>
  <c r="I5003" i="1"/>
  <c r="H5003" i="1"/>
  <c r="I5002" i="1"/>
  <c r="H5002" i="1"/>
  <c r="I5001" i="1"/>
  <c r="H5001" i="1"/>
  <c r="I5000" i="1"/>
  <c r="H5000" i="1"/>
  <c r="I4999" i="1"/>
  <c r="H4999" i="1"/>
  <c r="I4998" i="1"/>
  <c r="H4998" i="1"/>
  <c r="I4997" i="1"/>
  <c r="H4997" i="1"/>
  <c r="I4996" i="1"/>
  <c r="H4996" i="1"/>
  <c r="I4995" i="1"/>
  <c r="H4995" i="1"/>
  <c r="I4994" i="1"/>
  <c r="H4994" i="1"/>
  <c r="I4993" i="1"/>
  <c r="H4993" i="1"/>
  <c r="I4992" i="1"/>
  <c r="H4992" i="1"/>
  <c r="I4991" i="1"/>
  <c r="H4991" i="1"/>
  <c r="I4990" i="1"/>
  <c r="H4990" i="1"/>
  <c r="I4989" i="1"/>
  <c r="H4989" i="1"/>
  <c r="I4988" i="1"/>
  <c r="H4988" i="1"/>
  <c r="I4987" i="1"/>
  <c r="H4987" i="1"/>
  <c r="I4986" i="1"/>
  <c r="H4986" i="1"/>
  <c r="I4985" i="1"/>
  <c r="H4985" i="1"/>
  <c r="I4984" i="1"/>
  <c r="H4984" i="1"/>
  <c r="I4983" i="1"/>
  <c r="H4983" i="1"/>
  <c r="I4982" i="1"/>
  <c r="H4982" i="1"/>
  <c r="I4981" i="1"/>
  <c r="H4981" i="1"/>
  <c r="I4980" i="1"/>
  <c r="H4980" i="1"/>
  <c r="I4979" i="1"/>
  <c r="H4979" i="1"/>
  <c r="I4978" i="1"/>
  <c r="H4978" i="1"/>
  <c r="I4977" i="1"/>
  <c r="H4977" i="1"/>
  <c r="I4976" i="1"/>
  <c r="H4976" i="1"/>
  <c r="I4975" i="1"/>
  <c r="H4975" i="1"/>
  <c r="I4974" i="1"/>
  <c r="H4974" i="1"/>
  <c r="I4973" i="1"/>
  <c r="H4973" i="1"/>
  <c r="I4972" i="1"/>
  <c r="H4972" i="1"/>
  <c r="I4971" i="1"/>
  <c r="H4971" i="1"/>
  <c r="I4970" i="1"/>
  <c r="H4970" i="1"/>
  <c r="I4969" i="1"/>
  <c r="H4969" i="1"/>
  <c r="I4968" i="1"/>
  <c r="H4968" i="1"/>
  <c r="I4967" i="1"/>
  <c r="H4967" i="1"/>
  <c r="I4966" i="1"/>
  <c r="H4966" i="1"/>
  <c r="I4965" i="1"/>
  <c r="H4965" i="1"/>
  <c r="I4964" i="1"/>
  <c r="H4964" i="1"/>
  <c r="I4963" i="1"/>
  <c r="H4963" i="1"/>
  <c r="I4962" i="1"/>
  <c r="H4962" i="1"/>
  <c r="I4961" i="1"/>
  <c r="H4961" i="1"/>
  <c r="I4960" i="1"/>
  <c r="H4960" i="1"/>
  <c r="I4959" i="1"/>
  <c r="H4959" i="1"/>
  <c r="I4958" i="1"/>
  <c r="H4958" i="1"/>
  <c r="I4957" i="1"/>
  <c r="H4957" i="1"/>
  <c r="I4956" i="1"/>
  <c r="H4956" i="1"/>
  <c r="I4955" i="1"/>
  <c r="H4955" i="1"/>
  <c r="I4954" i="1"/>
  <c r="H4954" i="1"/>
  <c r="I4953" i="1"/>
  <c r="H4953" i="1"/>
  <c r="I4952" i="1"/>
  <c r="H4952" i="1"/>
  <c r="I4951" i="1"/>
  <c r="H4951" i="1"/>
  <c r="I4950" i="1"/>
  <c r="H4950" i="1"/>
  <c r="I4949" i="1"/>
  <c r="H4949" i="1"/>
  <c r="I4948" i="1"/>
  <c r="H4948" i="1"/>
  <c r="I4947" i="1"/>
  <c r="H4947" i="1"/>
  <c r="I4946" i="1"/>
  <c r="H4946" i="1"/>
  <c r="I4945" i="1"/>
  <c r="H4945" i="1"/>
  <c r="I4944" i="1"/>
  <c r="H4944" i="1"/>
  <c r="I4943" i="1"/>
  <c r="H4943" i="1"/>
  <c r="I4942" i="1"/>
  <c r="H4942" i="1"/>
  <c r="I4941" i="1"/>
  <c r="H4941" i="1"/>
  <c r="I4940" i="1"/>
  <c r="H4940" i="1"/>
  <c r="I4939" i="1"/>
  <c r="H4939" i="1"/>
  <c r="I4938" i="1"/>
  <c r="H4938" i="1"/>
  <c r="I4937" i="1"/>
  <c r="H4937" i="1"/>
  <c r="I4936" i="1"/>
  <c r="H4936" i="1"/>
  <c r="I4935" i="1"/>
  <c r="H4935" i="1"/>
  <c r="I4934" i="1"/>
  <c r="H4934" i="1"/>
  <c r="I4933" i="1"/>
  <c r="H4933" i="1"/>
  <c r="I4932" i="1"/>
  <c r="H4932" i="1"/>
  <c r="I4931" i="1"/>
  <c r="H4931" i="1"/>
  <c r="I4930" i="1"/>
  <c r="H4930" i="1"/>
  <c r="I4929" i="1"/>
  <c r="H4929" i="1"/>
  <c r="I4928" i="1"/>
  <c r="H4928" i="1"/>
  <c r="I4927" i="1"/>
  <c r="H4927" i="1"/>
  <c r="I4926" i="1"/>
  <c r="H4926" i="1"/>
  <c r="I4925" i="1"/>
  <c r="H4925" i="1"/>
  <c r="I4924" i="1"/>
  <c r="H4924" i="1"/>
  <c r="I4923" i="1"/>
  <c r="H4923" i="1"/>
  <c r="I4922" i="1"/>
  <c r="H4922" i="1"/>
  <c r="I4921" i="1"/>
  <c r="H4921" i="1"/>
  <c r="I4920" i="1"/>
  <c r="H4920" i="1"/>
  <c r="I4919" i="1"/>
  <c r="H4919" i="1"/>
  <c r="I4918" i="1"/>
  <c r="H4918" i="1"/>
  <c r="I4917" i="1"/>
  <c r="H4917" i="1"/>
  <c r="I4916" i="1"/>
  <c r="H4916" i="1"/>
  <c r="I4915" i="1"/>
  <c r="H4915" i="1"/>
  <c r="I4914" i="1"/>
  <c r="H4914" i="1"/>
  <c r="I4913" i="1"/>
  <c r="H4913" i="1"/>
  <c r="I4912" i="1"/>
  <c r="H4912" i="1"/>
  <c r="I4911" i="1"/>
  <c r="H4911" i="1"/>
  <c r="I4910" i="1"/>
  <c r="H4910" i="1"/>
  <c r="I4909" i="1"/>
  <c r="H4909" i="1"/>
  <c r="I4908" i="1"/>
  <c r="H4908" i="1"/>
  <c r="I4907" i="1"/>
  <c r="H4907" i="1"/>
  <c r="I4906" i="1"/>
  <c r="H4906" i="1"/>
  <c r="I4905" i="1"/>
  <c r="H4905" i="1"/>
  <c r="I4904" i="1"/>
  <c r="H4904" i="1"/>
  <c r="I4903" i="1"/>
  <c r="H4903" i="1"/>
  <c r="I4902" i="1"/>
  <c r="H4902" i="1"/>
  <c r="I4901" i="1"/>
  <c r="H4901" i="1"/>
  <c r="I4900" i="1"/>
  <c r="H4900" i="1"/>
  <c r="I4899" i="1"/>
  <c r="H4899" i="1"/>
  <c r="I4898" i="1"/>
  <c r="H4898" i="1"/>
  <c r="I4897" i="1"/>
  <c r="H4897" i="1"/>
  <c r="I4896" i="1"/>
  <c r="H4896" i="1"/>
  <c r="I4895" i="1"/>
  <c r="H4895" i="1"/>
  <c r="I4894" i="1"/>
  <c r="H4894" i="1"/>
  <c r="I4893" i="1"/>
  <c r="H4893" i="1"/>
  <c r="I4892" i="1"/>
  <c r="H4892" i="1"/>
  <c r="I4891" i="1"/>
  <c r="H4891" i="1"/>
  <c r="I4890" i="1"/>
  <c r="H4890" i="1"/>
  <c r="I4889" i="1"/>
  <c r="H4889" i="1"/>
  <c r="I4888" i="1"/>
  <c r="H4888" i="1"/>
  <c r="I4887" i="1"/>
  <c r="H4887" i="1"/>
  <c r="I4886" i="1"/>
  <c r="H4886" i="1"/>
  <c r="I4885" i="1"/>
  <c r="H4885" i="1"/>
  <c r="I4884" i="1"/>
  <c r="H4884" i="1"/>
  <c r="I4883" i="1"/>
  <c r="H4883" i="1"/>
  <c r="I4882" i="1"/>
  <c r="H4882" i="1"/>
  <c r="I4881" i="1"/>
  <c r="H4881" i="1"/>
  <c r="I4880" i="1"/>
  <c r="H4880" i="1"/>
  <c r="I4879" i="1"/>
  <c r="H4879" i="1"/>
  <c r="I4878" i="1"/>
  <c r="H4878" i="1"/>
  <c r="I4877" i="1"/>
  <c r="H4877" i="1"/>
  <c r="I4876" i="1"/>
  <c r="H4876" i="1"/>
  <c r="I4875" i="1"/>
  <c r="H4875" i="1"/>
  <c r="I4874" i="1"/>
  <c r="H4874" i="1"/>
  <c r="I4873" i="1"/>
  <c r="H4873" i="1"/>
  <c r="I4872" i="1"/>
  <c r="H4872" i="1"/>
  <c r="I4871" i="1"/>
  <c r="H4871" i="1"/>
  <c r="I4870" i="1"/>
  <c r="H4870" i="1"/>
  <c r="I4869" i="1"/>
  <c r="H4869" i="1"/>
  <c r="I4868" i="1"/>
  <c r="H4868" i="1"/>
  <c r="I4867" i="1"/>
  <c r="H4867" i="1"/>
  <c r="I4866" i="1"/>
  <c r="H4866" i="1"/>
  <c r="I4865" i="1"/>
  <c r="H4865" i="1"/>
  <c r="I4864" i="1"/>
  <c r="H4864" i="1"/>
  <c r="I4863" i="1"/>
  <c r="H4863" i="1"/>
  <c r="I4862" i="1"/>
  <c r="H4862" i="1"/>
  <c r="I4861" i="1"/>
  <c r="H4861" i="1"/>
  <c r="I4860" i="1"/>
  <c r="H4860" i="1"/>
  <c r="I4859" i="1"/>
  <c r="H4859" i="1"/>
  <c r="I4858" i="1"/>
  <c r="H4858" i="1"/>
  <c r="I4857" i="1"/>
  <c r="H4857" i="1"/>
  <c r="I4856" i="1"/>
  <c r="H4856" i="1"/>
  <c r="I4855" i="1"/>
  <c r="H4855" i="1"/>
  <c r="I4854" i="1"/>
  <c r="H4854" i="1"/>
  <c r="I4853" i="1"/>
  <c r="H4853" i="1"/>
  <c r="I4852" i="1"/>
  <c r="H4852" i="1"/>
  <c r="I4851" i="1"/>
  <c r="H4851" i="1"/>
  <c r="I4850" i="1"/>
  <c r="H4850" i="1"/>
  <c r="I4849" i="1"/>
  <c r="H4849" i="1"/>
  <c r="I4848" i="1"/>
  <c r="H4848" i="1"/>
  <c r="I4847" i="1"/>
  <c r="H4847" i="1"/>
  <c r="I4846" i="1"/>
  <c r="H4846" i="1"/>
  <c r="I4845" i="1"/>
  <c r="H4845" i="1"/>
  <c r="I4844" i="1"/>
  <c r="H4844" i="1"/>
  <c r="I4843" i="1"/>
  <c r="H4843" i="1"/>
  <c r="I4842" i="1"/>
  <c r="H4842" i="1"/>
  <c r="I4841" i="1"/>
  <c r="H4841" i="1"/>
  <c r="I4840" i="1"/>
  <c r="H4840" i="1"/>
  <c r="I4839" i="1"/>
  <c r="H4839" i="1"/>
  <c r="I4838" i="1"/>
  <c r="H4838" i="1"/>
  <c r="I4837" i="1"/>
  <c r="H4837" i="1"/>
  <c r="I4836" i="1"/>
  <c r="H4836" i="1"/>
  <c r="I4835" i="1"/>
  <c r="H4835" i="1"/>
  <c r="I4834" i="1"/>
  <c r="H4834" i="1"/>
  <c r="I4833" i="1"/>
  <c r="H4833" i="1"/>
  <c r="I4832" i="1"/>
  <c r="H4832" i="1"/>
  <c r="I4831" i="1"/>
  <c r="H4831" i="1"/>
  <c r="I4830" i="1"/>
  <c r="H4830" i="1"/>
  <c r="I4829" i="1"/>
  <c r="H4829" i="1"/>
  <c r="I4828" i="1"/>
  <c r="H4828" i="1"/>
  <c r="I4827" i="1"/>
  <c r="H4827" i="1"/>
  <c r="I4826" i="1"/>
  <c r="H4826" i="1"/>
  <c r="I4825" i="1"/>
  <c r="H4825" i="1"/>
  <c r="I4824" i="1"/>
  <c r="H4824" i="1"/>
  <c r="I4823" i="1"/>
  <c r="H4823" i="1"/>
  <c r="I4822" i="1"/>
  <c r="H4822" i="1"/>
  <c r="I4821" i="1"/>
  <c r="H4821" i="1"/>
  <c r="I4820" i="1"/>
  <c r="H4820" i="1"/>
  <c r="I4819" i="1"/>
  <c r="H4819" i="1"/>
  <c r="I4818" i="1"/>
  <c r="H4818" i="1"/>
  <c r="I4817" i="1"/>
  <c r="H4817" i="1"/>
  <c r="I4816" i="1"/>
  <c r="H4816" i="1"/>
  <c r="I4815" i="1"/>
  <c r="H4815" i="1"/>
  <c r="I4814" i="1"/>
  <c r="H4814" i="1"/>
  <c r="I4813" i="1"/>
  <c r="H4813" i="1"/>
  <c r="I4812" i="1"/>
  <c r="H4812" i="1"/>
  <c r="I4811" i="1"/>
  <c r="H4811" i="1"/>
  <c r="I4810" i="1"/>
  <c r="H4810" i="1"/>
  <c r="I4809" i="1"/>
  <c r="H4809" i="1"/>
  <c r="I4808" i="1"/>
  <c r="H4808" i="1"/>
  <c r="I4807" i="1"/>
  <c r="H4807" i="1"/>
  <c r="I4806" i="1"/>
  <c r="H4806" i="1"/>
  <c r="I4805" i="1"/>
  <c r="H4805" i="1"/>
  <c r="I4804" i="1"/>
  <c r="H4804" i="1"/>
  <c r="I4803" i="1"/>
  <c r="H4803" i="1"/>
  <c r="I4802" i="1"/>
  <c r="H4802" i="1"/>
  <c r="I4801" i="1"/>
  <c r="H4801" i="1"/>
  <c r="I4800" i="1"/>
  <c r="H4800" i="1"/>
  <c r="I4799" i="1"/>
  <c r="H4799" i="1"/>
  <c r="I4798" i="1"/>
  <c r="H4798" i="1"/>
  <c r="I4797" i="1"/>
  <c r="H4797" i="1"/>
  <c r="I4796" i="1"/>
  <c r="H4796" i="1"/>
  <c r="I4795" i="1"/>
  <c r="H4795" i="1"/>
  <c r="I4794" i="1"/>
  <c r="H4794" i="1"/>
  <c r="I4793" i="1"/>
  <c r="H4793" i="1"/>
  <c r="I4792" i="1"/>
  <c r="H4792" i="1"/>
  <c r="I4791" i="1"/>
  <c r="H4791" i="1"/>
  <c r="I4790" i="1"/>
  <c r="H4790" i="1"/>
  <c r="I4789" i="1"/>
  <c r="H4789" i="1"/>
  <c r="I4788" i="1"/>
  <c r="H4788" i="1"/>
  <c r="I4787" i="1"/>
  <c r="H4787" i="1"/>
  <c r="I4786" i="1"/>
  <c r="H4786" i="1"/>
  <c r="I4785" i="1"/>
  <c r="H4785" i="1"/>
  <c r="I4784" i="1"/>
  <c r="H4784" i="1"/>
  <c r="I4783" i="1"/>
  <c r="H4783" i="1"/>
  <c r="I4782" i="1"/>
  <c r="H4782" i="1"/>
  <c r="I4781" i="1"/>
  <c r="H4781" i="1"/>
  <c r="I4780" i="1"/>
  <c r="H4780" i="1"/>
  <c r="I4779" i="1"/>
  <c r="H4779" i="1"/>
  <c r="I4778" i="1"/>
  <c r="H4778" i="1"/>
  <c r="I4777" i="1"/>
  <c r="H4777" i="1"/>
  <c r="I4776" i="1"/>
  <c r="H4776" i="1"/>
  <c r="I4775" i="1"/>
  <c r="H4775" i="1"/>
  <c r="I4774" i="1"/>
  <c r="H4774" i="1"/>
  <c r="I4773" i="1"/>
  <c r="H4773" i="1"/>
  <c r="I4772" i="1"/>
  <c r="H4772" i="1"/>
  <c r="I4771" i="1"/>
  <c r="H4771" i="1"/>
  <c r="I4770" i="1"/>
  <c r="H4770" i="1"/>
  <c r="I4769" i="1"/>
  <c r="H4769" i="1"/>
  <c r="I4768" i="1"/>
  <c r="H4768" i="1"/>
  <c r="I4767" i="1"/>
  <c r="H4767" i="1"/>
  <c r="I4766" i="1"/>
  <c r="H4766" i="1"/>
  <c r="I4765" i="1"/>
  <c r="H4765" i="1"/>
  <c r="I4764" i="1"/>
  <c r="H4764" i="1"/>
  <c r="I4763" i="1"/>
  <c r="H4763" i="1"/>
  <c r="I4762" i="1"/>
  <c r="H4762" i="1"/>
  <c r="I4761" i="1"/>
  <c r="H4761" i="1"/>
  <c r="I4760" i="1"/>
  <c r="H4760" i="1"/>
  <c r="I4759" i="1"/>
  <c r="H4759" i="1"/>
  <c r="I4758" i="1"/>
  <c r="H4758" i="1"/>
  <c r="I4757" i="1"/>
  <c r="H4757" i="1"/>
  <c r="I4756" i="1"/>
  <c r="H4756" i="1"/>
  <c r="I4755" i="1"/>
  <c r="H4755" i="1"/>
  <c r="I4754" i="1"/>
  <c r="H4754" i="1"/>
  <c r="I4753" i="1"/>
  <c r="H4753" i="1"/>
  <c r="I4752" i="1"/>
  <c r="H4752" i="1"/>
  <c r="I4751" i="1"/>
  <c r="H4751" i="1"/>
  <c r="I4750" i="1"/>
  <c r="H4750" i="1"/>
  <c r="I4749" i="1"/>
  <c r="H4749" i="1"/>
  <c r="I4748" i="1"/>
  <c r="H4748" i="1"/>
  <c r="I4747" i="1"/>
  <c r="H4747" i="1"/>
  <c r="I4746" i="1"/>
  <c r="H4746" i="1"/>
  <c r="I4745" i="1"/>
  <c r="H4745" i="1"/>
  <c r="I4744" i="1"/>
  <c r="H4744" i="1"/>
  <c r="I4743" i="1"/>
  <c r="H4743" i="1"/>
  <c r="I4742" i="1"/>
  <c r="H4742" i="1"/>
  <c r="I4741" i="1"/>
  <c r="H4741" i="1"/>
  <c r="I4740" i="1"/>
  <c r="H4740" i="1"/>
  <c r="I4739" i="1"/>
  <c r="H4739" i="1"/>
  <c r="I4738" i="1"/>
  <c r="H4738" i="1"/>
  <c r="I4737" i="1"/>
  <c r="H4737" i="1"/>
  <c r="I4736" i="1"/>
  <c r="H4736" i="1"/>
  <c r="I4735" i="1"/>
  <c r="H4735" i="1"/>
  <c r="I4734" i="1"/>
  <c r="H4734" i="1"/>
  <c r="I4733" i="1"/>
  <c r="H4733" i="1"/>
  <c r="I4732" i="1"/>
  <c r="H4732" i="1"/>
  <c r="I4731" i="1"/>
  <c r="H4731" i="1"/>
  <c r="I4730" i="1"/>
  <c r="H4730" i="1"/>
  <c r="I4729" i="1"/>
  <c r="H4729" i="1"/>
  <c r="I4728" i="1"/>
  <c r="H4728" i="1"/>
  <c r="I4727" i="1"/>
  <c r="H4727" i="1"/>
  <c r="I4726" i="1"/>
  <c r="H4726" i="1"/>
  <c r="I4725" i="1"/>
  <c r="H4725" i="1"/>
  <c r="I4724" i="1"/>
  <c r="H4724" i="1"/>
  <c r="I4723" i="1"/>
  <c r="H4723" i="1"/>
  <c r="I4722" i="1"/>
  <c r="H4722" i="1"/>
  <c r="I4721" i="1"/>
  <c r="H4721" i="1"/>
  <c r="I4720" i="1"/>
  <c r="H4720" i="1"/>
  <c r="I4719" i="1"/>
  <c r="H4719" i="1"/>
  <c r="I4718" i="1"/>
  <c r="H4718" i="1"/>
  <c r="I4717" i="1"/>
  <c r="H4717" i="1"/>
  <c r="I4716" i="1"/>
  <c r="H4716" i="1"/>
  <c r="I4715" i="1"/>
  <c r="H4715" i="1"/>
  <c r="I4714" i="1"/>
  <c r="H4714" i="1"/>
  <c r="I4713" i="1"/>
  <c r="H4713" i="1"/>
  <c r="I4712" i="1"/>
  <c r="H4712" i="1"/>
  <c r="I4711" i="1"/>
  <c r="H4711" i="1"/>
  <c r="I4710" i="1"/>
  <c r="H4710" i="1"/>
  <c r="I4709" i="1"/>
  <c r="H4709" i="1"/>
  <c r="I4708" i="1"/>
  <c r="H4708" i="1"/>
  <c r="I4707" i="1"/>
  <c r="H4707" i="1"/>
  <c r="I4706" i="1"/>
  <c r="H4706" i="1"/>
  <c r="I4705" i="1"/>
  <c r="H4705" i="1"/>
  <c r="I4704" i="1"/>
  <c r="H4704" i="1"/>
  <c r="I4703" i="1"/>
  <c r="H4703" i="1"/>
  <c r="I4702" i="1"/>
  <c r="H4702" i="1"/>
  <c r="I4701" i="1"/>
  <c r="H4701" i="1"/>
  <c r="I4700" i="1"/>
  <c r="H4700" i="1"/>
  <c r="I4699" i="1"/>
  <c r="H4699" i="1"/>
  <c r="I4698" i="1"/>
  <c r="H4698" i="1"/>
  <c r="I4697" i="1"/>
  <c r="H4697" i="1"/>
  <c r="I4696" i="1"/>
  <c r="H4696" i="1"/>
  <c r="I4695" i="1"/>
  <c r="H4695" i="1"/>
  <c r="I4694" i="1"/>
  <c r="H4694" i="1"/>
  <c r="I4693" i="1"/>
  <c r="H4693" i="1"/>
  <c r="I4692" i="1"/>
  <c r="H4692" i="1"/>
  <c r="I4691" i="1"/>
  <c r="H4691" i="1"/>
  <c r="I4690" i="1"/>
  <c r="H4690" i="1"/>
  <c r="I4689" i="1"/>
  <c r="H4689" i="1"/>
  <c r="I4688" i="1"/>
  <c r="H4688" i="1"/>
  <c r="I4687" i="1"/>
  <c r="H4687" i="1"/>
  <c r="I4686" i="1"/>
  <c r="H4686" i="1"/>
  <c r="I4685" i="1"/>
  <c r="H4685" i="1"/>
  <c r="I4684" i="1"/>
  <c r="H4684" i="1"/>
  <c r="I4683" i="1"/>
  <c r="H4683" i="1"/>
  <c r="I4682" i="1"/>
  <c r="H4682" i="1"/>
  <c r="I4681" i="1"/>
  <c r="H4681" i="1"/>
  <c r="I4680" i="1"/>
  <c r="H4680" i="1"/>
  <c r="I4679" i="1"/>
  <c r="H4679" i="1"/>
  <c r="I4678" i="1"/>
  <c r="H4678" i="1"/>
  <c r="I4677" i="1"/>
  <c r="H4677" i="1"/>
  <c r="I4676" i="1"/>
  <c r="H4676" i="1"/>
  <c r="I4675" i="1"/>
  <c r="H4675" i="1"/>
  <c r="I4674" i="1"/>
  <c r="H4674" i="1"/>
  <c r="I4673" i="1"/>
  <c r="H4673" i="1"/>
  <c r="I4672" i="1"/>
  <c r="H4672" i="1"/>
  <c r="I4671" i="1"/>
  <c r="H4671" i="1"/>
  <c r="I4670" i="1"/>
  <c r="H4670" i="1"/>
  <c r="I4669" i="1"/>
  <c r="H4669" i="1"/>
  <c r="I4668" i="1"/>
  <c r="H4668" i="1"/>
  <c r="I4667" i="1"/>
  <c r="H4667" i="1"/>
  <c r="I4666" i="1"/>
  <c r="H4666" i="1"/>
  <c r="I4665" i="1"/>
  <c r="H4665" i="1"/>
  <c r="I4664" i="1"/>
  <c r="H4664" i="1"/>
  <c r="I4663" i="1"/>
  <c r="H4663" i="1"/>
  <c r="I4662" i="1"/>
  <c r="H4662" i="1"/>
  <c r="I4661" i="1"/>
  <c r="H4661" i="1"/>
  <c r="I4660" i="1"/>
  <c r="H4660" i="1"/>
  <c r="I4659" i="1"/>
  <c r="H4659" i="1"/>
  <c r="I4658" i="1"/>
  <c r="H4658" i="1"/>
  <c r="I4657" i="1"/>
  <c r="H4657" i="1"/>
  <c r="I4656" i="1"/>
  <c r="H4656" i="1"/>
  <c r="I4655" i="1"/>
  <c r="H4655" i="1"/>
  <c r="I4654" i="1"/>
  <c r="H4654" i="1"/>
  <c r="I4653" i="1"/>
  <c r="H4653" i="1"/>
  <c r="I4652" i="1"/>
  <c r="H4652" i="1"/>
  <c r="I4651" i="1"/>
  <c r="H4651" i="1"/>
  <c r="I4650" i="1"/>
  <c r="H4650" i="1"/>
  <c r="I4649" i="1"/>
  <c r="H4649" i="1"/>
  <c r="I4648" i="1"/>
  <c r="H4648" i="1"/>
  <c r="I4647" i="1"/>
  <c r="H4647" i="1"/>
  <c r="I4646" i="1"/>
  <c r="H4646" i="1"/>
  <c r="I4645" i="1"/>
  <c r="H4645" i="1"/>
  <c r="I4644" i="1"/>
  <c r="H4644" i="1"/>
  <c r="I4643" i="1"/>
  <c r="H4643" i="1"/>
  <c r="I4642" i="1"/>
  <c r="H4642" i="1"/>
  <c r="I4641" i="1"/>
  <c r="H4641" i="1"/>
  <c r="I4640" i="1"/>
  <c r="H4640" i="1"/>
  <c r="I4639" i="1"/>
  <c r="H4639" i="1"/>
  <c r="I4638" i="1"/>
  <c r="H4638" i="1"/>
  <c r="I4637" i="1"/>
  <c r="H4637" i="1"/>
  <c r="I4636" i="1"/>
  <c r="H4636" i="1"/>
  <c r="I4635" i="1"/>
  <c r="H4635" i="1"/>
  <c r="I4634" i="1"/>
  <c r="H4634" i="1"/>
  <c r="I4633" i="1"/>
  <c r="H4633" i="1"/>
  <c r="I4632" i="1"/>
  <c r="H4632" i="1"/>
  <c r="I4631" i="1"/>
  <c r="H4631" i="1"/>
  <c r="I4630" i="1"/>
  <c r="H4630" i="1"/>
  <c r="I4629" i="1"/>
  <c r="H4629" i="1"/>
  <c r="I4628" i="1"/>
  <c r="H4628" i="1"/>
  <c r="I4627" i="1"/>
  <c r="H4627" i="1"/>
  <c r="I4626" i="1"/>
  <c r="H4626" i="1"/>
  <c r="I4625" i="1"/>
  <c r="H4625" i="1"/>
  <c r="I4624" i="1"/>
  <c r="H4624" i="1"/>
  <c r="I4623" i="1"/>
  <c r="H4623" i="1"/>
  <c r="I4622" i="1"/>
  <c r="H4622" i="1"/>
  <c r="I4621" i="1"/>
  <c r="H4621" i="1"/>
  <c r="I4620" i="1"/>
  <c r="H4620" i="1"/>
  <c r="I4619" i="1"/>
  <c r="H4619" i="1"/>
  <c r="I4618" i="1"/>
  <c r="H4618" i="1"/>
  <c r="I4617" i="1"/>
  <c r="H4617" i="1"/>
  <c r="I4616" i="1"/>
  <c r="H4616" i="1"/>
  <c r="I4615" i="1"/>
  <c r="H4615" i="1"/>
  <c r="I4614" i="1"/>
  <c r="H4614" i="1"/>
  <c r="I4613" i="1"/>
  <c r="H4613" i="1"/>
  <c r="I4612" i="1"/>
  <c r="H4612" i="1"/>
  <c r="I4611" i="1"/>
  <c r="H4611" i="1"/>
  <c r="I4610" i="1"/>
  <c r="H4610" i="1"/>
  <c r="I4609" i="1"/>
  <c r="H4609" i="1"/>
  <c r="I4608" i="1"/>
  <c r="H4608" i="1"/>
  <c r="I4607" i="1"/>
  <c r="H4607" i="1"/>
  <c r="I4606" i="1"/>
  <c r="H4606" i="1"/>
  <c r="I4605" i="1"/>
  <c r="H4605" i="1"/>
  <c r="I4604" i="1"/>
  <c r="H4604" i="1"/>
  <c r="I4603" i="1"/>
  <c r="H4603" i="1"/>
  <c r="I4602" i="1"/>
  <c r="H4602" i="1"/>
  <c r="I4601" i="1"/>
  <c r="H4601" i="1"/>
  <c r="I4600" i="1"/>
  <c r="H4600" i="1"/>
  <c r="I4599" i="1"/>
  <c r="H4599" i="1"/>
  <c r="I4598" i="1"/>
  <c r="H4598" i="1"/>
  <c r="I4597" i="1"/>
  <c r="H4597" i="1"/>
  <c r="I4596" i="1"/>
  <c r="H4596" i="1"/>
  <c r="I4595" i="1"/>
  <c r="H4595" i="1"/>
  <c r="I4594" i="1"/>
  <c r="H4594" i="1"/>
  <c r="I4593" i="1"/>
  <c r="H4593" i="1"/>
  <c r="I4592" i="1"/>
  <c r="H4592" i="1"/>
  <c r="I4591" i="1"/>
  <c r="H4591" i="1"/>
  <c r="I4590" i="1"/>
  <c r="H4590" i="1"/>
  <c r="I4589" i="1"/>
  <c r="H4589" i="1"/>
  <c r="I4588" i="1"/>
  <c r="H4588" i="1"/>
  <c r="I4587" i="1"/>
  <c r="H4587" i="1"/>
  <c r="I4586" i="1"/>
  <c r="H4586" i="1"/>
  <c r="I4585" i="1"/>
  <c r="H4585" i="1"/>
  <c r="I4584" i="1"/>
  <c r="H4584" i="1"/>
  <c r="I4583" i="1"/>
  <c r="H4583" i="1"/>
  <c r="I4582" i="1"/>
  <c r="H4582" i="1"/>
  <c r="I4581" i="1"/>
  <c r="H4581" i="1"/>
  <c r="I4580" i="1"/>
  <c r="H4580" i="1"/>
  <c r="I4579" i="1"/>
  <c r="H4579" i="1"/>
  <c r="I4578" i="1"/>
  <c r="H4578" i="1"/>
  <c r="I4577" i="1"/>
  <c r="H4577" i="1"/>
  <c r="I4576" i="1"/>
  <c r="H4576" i="1"/>
  <c r="I4575" i="1"/>
  <c r="H4575" i="1"/>
  <c r="I4574" i="1"/>
  <c r="H4574" i="1"/>
  <c r="I4573" i="1"/>
  <c r="H4573" i="1"/>
  <c r="I4572" i="1"/>
  <c r="H4572" i="1"/>
  <c r="I4571" i="1"/>
  <c r="H4571" i="1"/>
  <c r="I4570" i="1"/>
  <c r="H4570" i="1"/>
  <c r="I4569" i="1"/>
  <c r="H4569" i="1"/>
  <c r="I4568" i="1"/>
  <c r="H4568" i="1"/>
  <c r="I4567" i="1"/>
  <c r="H4567" i="1"/>
  <c r="I4566" i="1"/>
  <c r="H4566" i="1"/>
  <c r="I4565" i="1"/>
  <c r="H4565" i="1"/>
  <c r="I4564" i="1"/>
  <c r="H4564" i="1"/>
  <c r="I4563" i="1"/>
  <c r="H4563" i="1"/>
  <c r="I4562" i="1"/>
  <c r="H4562" i="1"/>
  <c r="I4561" i="1"/>
  <c r="H4561" i="1"/>
  <c r="I4560" i="1"/>
  <c r="H4560" i="1"/>
  <c r="I4559" i="1"/>
  <c r="H4559" i="1"/>
  <c r="I4558" i="1"/>
  <c r="H4558" i="1"/>
  <c r="I4557" i="1"/>
  <c r="H4557" i="1"/>
  <c r="I4556" i="1"/>
  <c r="H4556" i="1"/>
  <c r="I4555" i="1"/>
  <c r="H4555" i="1"/>
  <c r="I4554" i="1"/>
  <c r="H4554" i="1"/>
  <c r="I4553" i="1"/>
  <c r="H4553" i="1"/>
  <c r="I4552" i="1"/>
  <c r="H4552" i="1"/>
  <c r="I4551" i="1"/>
  <c r="H4551" i="1"/>
  <c r="I4550" i="1"/>
  <c r="H4550" i="1"/>
  <c r="I4549" i="1"/>
  <c r="H4549" i="1"/>
  <c r="I4548" i="1"/>
  <c r="H4548" i="1"/>
  <c r="I4547" i="1"/>
  <c r="H4547" i="1"/>
  <c r="I4546" i="1"/>
  <c r="H4546" i="1"/>
  <c r="I4545" i="1"/>
  <c r="H4545" i="1"/>
  <c r="I4544" i="1"/>
  <c r="H4544" i="1"/>
  <c r="I4543" i="1"/>
  <c r="H4543" i="1"/>
  <c r="I4542" i="1"/>
  <c r="H4542" i="1"/>
  <c r="I4541" i="1"/>
  <c r="H4541" i="1"/>
  <c r="I4540" i="1"/>
  <c r="H4540" i="1"/>
  <c r="I4539" i="1"/>
  <c r="H4539" i="1"/>
  <c r="I4538" i="1"/>
  <c r="H4538" i="1"/>
  <c r="I4537" i="1"/>
  <c r="H4537" i="1"/>
  <c r="I4536" i="1"/>
  <c r="H4536" i="1"/>
  <c r="I4535" i="1"/>
  <c r="H4535" i="1"/>
  <c r="I4534" i="1"/>
  <c r="H4534" i="1"/>
  <c r="I4533" i="1"/>
  <c r="H4533" i="1"/>
  <c r="I4532" i="1"/>
  <c r="H4532" i="1"/>
  <c r="I4531" i="1"/>
  <c r="H4531" i="1"/>
  <c r="I4530" i="1"/>
  <c r="H4530" i="1"/>
  <c r="I4529" i="1"/>
  <c r="H4529" i="1"/>
  <c r="I4528" i="1"/>
  <c r="H4528" i="1"/>
  <c r="I4527" i="1"/>
  <c r="H4527" i="1"/>
  <c r="I4526" i="1"/>
  <c r="H4526" i="1"/>
  <c r="I4525" i="1"/>
  <c r="H4525" i="1"/>
  <c r="I4524" i="1"/>
  <c r="H4524" i="1"/>
  <c r="I4523" i="1"/>
  <c r="H4523" i="1"/>
  <c r="I4522" i="1"/>
  <c r="H4522" i="1"/>
  <c r="I4521" i="1"/>
  <c r="H4521" i="1"/>
  <c r="I4520" i="1"/>
  <c r="H4520" i="1"/>
  <c r="I4519" i="1"/>
  <c r="H4519" i="1"/>
  <c r="I4518" i="1"/>
  <c r="H4518" i="1"/>
  <c r="I4517" i="1"/>
  <c r="H4517" i="1"/>
  <c r="I4516" i="1"/>
  <c r="H4516" i="1"/>
  <c r="I4515" i="1"/>
  <c r="H4515" i="1"/>
  <c r="I4514" i="1"/>
  <c r="H4514" i="1"/>
  <c r="I4513" i="1"/>
  <c r="H4513" i="1"/>
  <c r="I4512" i="1"/>
  <c r="H4512" i="1"/>
  <c r="I4511" i="1"/>
  <c r="H4511" i="1"/>
  <c r="I4510" i="1"/>
  <c r="H4510" i="1"/>
  <c r="I4509" i="1"/>
  <c r="H4509" i="1"/>
  <c r="I4508" i="1"/>
  <c r="H4508" i="1"/>
  <c r="I4507" i="1"/>
  <c r="H4507" i="1"/>
  <c r="I4506" i="1"/>
  <c r="H4506" i="1"/>
  <c r="I4505" i="1"/>
  <c r="H4505" i="1"/>
  <c r="I4504" i="1"/>
  <c r="H4504" i="1"/>
  <c r="I4503" i="1"/>
  <c r="H4503" i="1"/>
  <c r="I4502" i="1"/>
  <c r="H4502" i="1"/>
  <c r="I4501" i="1"/>
  <c r="H4501" i="1"/>
  <c r="I4500" i="1"/>
  <c r="H4500" i="1"/>
  <c r="I4499" i="1"/>
  <c r="H4499" i="1"/>
  <c r="I4498" i="1"/>
  <c r="H4498" i="1"/>
  <c r="I4497" i="1"/>
  <c r="H4497" i="1"/>
  <c r="I4496" i="1"/>
  <c r="H4496" i="1"/>
  <c r="I4495" i="1"/>
  <c r="H4495" i="1"/>
  <c r="I4494" i="1"/>
  <c r="H4494" i="1"/>
  <c r="I4493" i="1"/>
  <c r="H4493" i="1"/>
  <c r="I4492" i="1"/>
  <c r="H4492" i="1"/>
  <c r="I4491" i="1"/>
  <c r="H4491" i="1"/>
  <c r="I4490" i="1"/>
  <c r="H4490" i="1"/>
  <c r="I4489" i="1"/>
  <c r="H4489" i="1"/>
  <c r="I4488" i="1"/>
  <c r="H4488" i="1"/>
  <c r="I4487" i="1"/>
  <c r="H4487" i="1"/>
  <c r="I4486" i="1"/>
  <c r="H4486" i="1"/>
  <c r="I4485" i="1"/>
  <c r="H4485" i="1"/>
  <c r="I4484" i="1"/>
  <c r="H4484" i="1"/>
  <c r="I4483" i="1"/>
  <c r="H4483" i="1"/>
  <c r="I4482" i="1"/>
  <c r="H4482" i="1"/>
  <c r="I4481" i="1"/>
  <c r="H4481" i="1"/>
  <c r="I4480" i="1"/>
  <c r="H4480" i="1"/>
  <c r="I4479" i="1"/>
  <c r="H4479" i="1"/>
  <c r="I4478" i="1"/>
  <c r="H4478" i="1"/>
  <c r="I4477" i="1"/>
  <c r="H4477" i="1"/>
  <c r="I4476" i="1"/>
  <c r="H4476" i="1"/>
  <c r="I4475" i="1"/>
  <c r="H4475" i="1"/>
  <c r="I4474" i="1"/>
  <c r="H4474" i="1"/>
  <c r="I4473" i="1"/>
  <c r="H4473" i="1"/>
  <c r="I4472" i="1"/>
  <c r="H4472" i="1"/>
  <c r="I4471" i="1"/>
  <c r="H4471" i="1"/>
  <c r="I4470" i="1"/>
  <c r="H4470" i="1"/>
  <c r="I4469" i="1"/>
  <c r="H4469" i="1"/>
  <c r="I4468" i="1"/>
  <c r="H4468" i="1"/>
  <c r="I4467" i="1"/>
  <c r="H4467" i="1"/>
  <c r="I4466" i="1"/>
  <c r="H4466" i="1"/>
  <c r="I4465" i="1"/>
  <c r="H4465" i="1"/>
  <c r="I4464" i="1"/>
  <c r="H4464" i="1"/>
  <c r="I4463" i="1"/>
  <c r="H4463" i="1"/>
  <c r="I4462" i="1"/>
  <c r="H4462" i="1"/>
  <c r="I4461" i="1"/>
  <c r="H4461" i="1"/>
  <c r="I4460" i="1"/>
  <c r="H4460" i="1"/>
  <c r="I4459" i="1"/>
  <c r="H4459" i="1"/>
  <c r="I4458" i="1"/>
  <c r="H4458" i="1"/>
  <c r="I4457" i="1"/>
  <c r="H4457" i="1"/>
  <c r="I4456" i="1"/>
  <c r="H4456" i="1"/>
  <c r="I4455" i="1"/>
  <c r="H4455" i="1"/>
  <c r="I4454" i="1"/>
  <c r="H4454" i="1"/>
  <c r="I4453" i="1"/>
  <c r="H4453" i="1"/>
  <c r="I4452" i="1"/>
  <c r="H4452" i="1"/>
  <c r="I4451" i="1"/>
  <c r="H4451" i="1"/>
  <c r="I4450" i="1"/>
  <c r="H4450" i="1"/>
  <c r="I4449" i="1"/>
  <c r="H4449" i="1"/>
  <c r="I4448" i="1"/>
  <c r="H4448" i="1"/>
  <c r="I4447" i="1"/>
  <c r="H4447" i="1"/>
  <c r="I4446" i="1"/>
  <c r="H4446" i="1"/>
  <c r="I4445" i="1"/>
  <c r="H4445" i="1"/>
  <c r="I4444" i="1"/>
  <c r="H4444" i="1"/>
  <c r="I4443" i="1"/>
  <c r="H4443" i="1"/>
  <c r="I4442" i="1"/>
  <c r="H4442" i="1"/>
  <c r="I4441" i="1"/>
  <c r="H4441" i="1"/>
  <c r="I4440" i="1"/>
  <c r="H4440" i="1"/>
  <c r="I4439" i="1"/>
  <c r="H4439" i="1"/>
  <c r="I4438" i="1"/>
  <c r="H4438" i="1"/>
  <c r="I4437" i="1"/>
  <c r="H4437" i="1"/>
  <c r="I4436" i="1"/>
  <c r="H4436" i="1"/>
  <c r="I4435" i="1"/>
  <c r="H4435" i="1"/>
  <c r="I4434" i="1"/>
  <c r="H4434" i="1"/>
  <c r="I4433" i="1"/>
  <c r="H4433" i="1"/>
  <c r="I4432" i="1"/>
  <c r="H4432" i="1"/>
  <c r="I4431" i="1"/>
  <c r="H4431" i="1"/>
  <c r="I4430" i="1"/>
  <c r="H4430" i="1"/>
  <c r="I4429" i="1"/>
  <c r="H4429" i="1"/>
  <c r="I4428" i="1"/>
  <c r="H4428" i="1"/>
  <c r="I4427" i="1"/>
  <c r="H4427" i="1"/>
  <c r="I4426" i="1"/>
  <c r="H4426" i="1"/>
  <c r="I4425" i="1"/>
  <c r="H4425" i="1"/>
  <c r="I4424" i="1"/>
  <c r="H4424" i="1"/>
  <c r="I4423" i="1"/>
  <c r="H4423" i="1"/>
  <c r="I4422" i="1"/>
  <c r="H4422" i="1"/>
  <c r="I4421" i="1"/>
  <c r="H4421" i="1"/>
  <c r="I4420" i="1"/>
  <c r="H4420" i="1"/>
  <c r="I4419" i="1"/>
  <c r="H4419" i="1"/>
  <c r="I4418" i="1"/>
  <c r="H4418" i="1"/>
  <c r="I4417" i="1"/>
  <c r="H4417" i="1"/>
  <c r="I4416" i="1"/>
  <c r="H4416" i="1"/>
  <c r="I4415" i="1"/>
  <c r="H4415" i="1"/>
  <c r="I4414" i="1"/>
  <c r="H4414" i="1"/>
  <c r="I4413" i="1"/>
  <c r="H4413" i="1"/>
  <c r="I4412" i="1"/>
  <c r="H4412" i="1"/>
  <c r="I4411" i="1"/>
  <c r="H4411" i="1"/>
  <c r="I4410" i="1"/>
  <c r="H4410" i="1"/>
  <c r="I4409" i="1"/>
  <c r="H4409" i="1"/>
  <c r="I4408" i="1"/>
  <c r="H4408" i="1"/>
  <c r="I4407" i="1"/>
  <c r="H4407" i="1"/>
  <c r="I4406" i="1"/>
  <c r="H4406" i="1"/>
  <c r="I4405" i="1"/>
  <c r="H4405" i="1"/>
  <c r="I4404" i="1"/>
  <c r="H4404" i="1"/>
  <c r="I4403" i="1"/>
  <c r="H4403" i="1"/>
  <c r="I4402" i="1"/>
  <c r="H4402" i="1"/>
  <c r="I4401" i="1"/>
  <c r="H4401" i="1"/>
  <c r="I4400" i="1"/>
  <c r="H4400" i="1"/>
  <c r="I4399" i="1"/>
  <c r="H4399" i="1"/>
  <c r="I4398" i="1"/>
  <c r="H4398" i="1"/>
  <c r="I4397" i="1"/>
  <c r="H4397" i="1"/>
  <c r="I4396" i="1"/>
  <c r="H4396" i="1"/>
  <c r="I4395" i="1"/>
  <c r="H4395" i="1"/>
  <c r="I4394" i="1"/>
  <c r="H4394" i="1"/>
  <c r="I4393" i="1"/>
  <c r="H4393" i="1"/>
  <c r="I4392" i="1"/>
  <c r="H4392" i="1"/>
  <c r="I4391" i="1"/>
  <c r="H4391" i="1"/>
  <c r="I4390" i="1"/>
  <c r="H4390" i="1"/>
  <c r="I4389" i="1"/>
  <c r="H4389" i="1"/>
  <c r="I4388" i="1"/>
  <c r="H4388" i="1"/>
  <c r="I4387" i="1"/>
  <c r="H4387" i="1"/>
  <c r="I4386" i="1"/>
  <c r="H4386" i="1"/>
  <c r="I4385" i="1"/>
  <c r="H4385" i="1"/>
  <c r="I4384" i="1"/>
  <c r="H4384" i="1"/>
  <c r="I4383" i="1"/>
  <c r="H4383" i="1"/>
  <c r="I4382" i="1"/>
  <c r="H4382" i="1"/>
  <c r="I4381" i="1"/>
  <c r="H4381" i="1"/>
  <c r="I4380" i="1"/>
  <c r="H4380" i="1"/>
  <c r="I4379" i="1"/>
  <c r="H4379" i="1"/>
  <c r="I4378" i="1"/>
  <c r="H4378" i="1"/>
  <c r="I4377" i="1"/>
  <c r="H4377" i="1"/>
  <c r="I4376" i="1"/>
  <c r="H4376" i="1"/>
  <c r="I4375" i="1"/>
  <c r="H4375" i="1"/>
  <c r="I4374" i="1"/>
  <c r="H4374" i="1"/>
  <c r="I4373" i="1"/>
  <c r="H4373" i="1"/>
  <c r="I4372" i="1"/>
  <c r="H4372" i="1"/>
  <c r="I4371" i="1"/>
  <c r="H4371" i="1"/>
  <c r="I4370" i="1"/>
  <c r="H4370" i="1"/>
  <c r="I4369" i="1"/>
  <c r="H4369" i="1"/>
  <c r="I4368" i="1"/>
  <c r="H4368" i="1"/>
  <c r="I4367" i="1"/>
  <c r="H4367" i="1"/>
  <c r="I4366" i="1"/>
  <c r="H4366" i="1"/>
  <c r="I4365" i="1"/>
  <c r="H4365" i="1"/>
  <c r="I4364" i="1"/>
  <c r="H4364" i="1"/>
  <c r="I4363" i="1"/>
  <c r="H4363" i="1"/>
  <c r="I4362" i="1"/>
  <c r="H4362" i="1"/>
  <c r="I4361" i="1"/>
  <c r="H4361" i="1"/>
  <c r="I4360" i="1"/>
  <c r="H4360" i="1"/>
  <c r="I4359" i="1"/>
  <c r="H4359" i="1"/>
  <c r="I4358" i="1"/>
  <c r="H4358" i="1"/>
  <c r="I4357" i="1"/>
  <c r="H4357" i="1"/>
  <c r="I4356" i="1"/>
  <c r="H4356" i="1"/>
  <c r="I4355" i="1"/>
  <c r="H4355" i="1"/>
  <c r="I4354" i="1"/>
  <c r="H4354" i="1"/>
  <c r="I4353" i="1"/>
  <c r="H4353" i="1"/>
  <c r="I4352" i="1"/>
  <c r="H4352" i="1"/>
  <c r="I4351" i="1"/>
  <c r="H4351" i="1"/>
  <c r="I4350" i="1"/>
  <c r="H4350" i="1"/>
  <c r="I4349" i="1"/>
  <c r="H4349" i="1"/>
  <c r="I4348" i="1"/>
  <c r="H4348" i="1"/>
  <c r="I4347" i="1"/>
  <c r="H4347" i="1"/>
  <c r="I4346" i="1"/>
  <c r="H4346" i="1"/>
  <c r="I4345" i="1"/>
  <c r="H4345" i="1"/>
  <c r="I4344" i="1"/>
  <c r="H4344" i="1"/>
  <c r="I4343" i="1"/>
  <c r="H4343" i="1"/>
  <c r="I4342" i="1"/>
  <c r="H4342" i="1"/>
  <c r="I4341" i="1"/>
  <c r="H4341" i="1"/>
  <c r="I4340" i="1"/>
  <c r="H4340" i="1"/>
  <c r="I4339" i="1"/>
  <c r="H4339" i="1"/>
  <c r="I4338" i="1"/>
  <c r="H4338" i="1"/>
  <c r="I4337" i="1"/>
  <c r="H4337" i="1"/>
  <c r="I4336" i="1"/>
  <c r="H4336" i="1"/>
  <c r="I4335" i="1"/>
  <c r="H4335" i="1"/>
  <c r="I4334" i="1"/>
  <c r="H4334" i="1"/>
  <c r="I4333" i="1"/>
  <c r="H4333" i="1"/>
  <c r="I4332" i="1"/>
  <c r="H4332" i="1"/>
  <c r="I4331" i="1"/>
  <c r="H4331" i="1"/>
  <c r="I4330" i="1"/>
  <c r="H4330" i="1"/>
  <c r="I4329" i="1"/>
  <c r="H4329" i="1"/>
  <c r="I4328" i="1"/>
  <c r="H4328" i="1"/>
  <c r="I4327" i="1"/>
  <c r="H4327" i="1"/>
  <c r="I4326" i="1"/>
  <c r="H4326" i="1"/>
  <c r="I4325" i="1"/>
  <c r="H4325" i="1"/>
  <c r="I4324" i="1"/>
  <c r="H4324" i="1"/>
  <c r="I4323" i="1"/>
  <c r="H4323" i="1"/>
  <c r="I4322" i="1"/>
  <c r="H4322" i="1"/>
  <c r="I4321" i="1"/>
  <c r="H4321" i="1"/>
  <c r="I4320" i="1"/>
  <c r="H4320" i="1"/>
  <c r="I4319" i="1"/>
  <c r="H4319" i="1"/>
  <c r="I4318" i="1"/>
  <c r="H4318" i="1"/>
  <c r="I4317" i="1"/>
  <c r="H4317" i="1"/>
  <c r="I4316" i="1"/>
  <c r="H4316" i="1"/>
  <c r="I4315" i="1"/>
  <c r="H4315" i="1"/>
  <c r="I4314" i="1"/>
  <c r="H4314" i="1"/>
  <c r="I4313" i="1"/>
  <c r="H4313" i="1"/>
  <c r="I4312" i="1"/>
  <c r="H4312" i="1"/>
  <c r="I4311" i="1"/>
  <c r="H4311" i="1"/>
  <c r="I4310" i="1"/>
  <c r="H4310" i="1"/>
  <c r="I4309" i="1"/>
  <c r="H4309" i="1"/>
  <c r="I4308" i="1"/>
  <c r="H4308" i="1"/>
  <c r="I4307" i="1"/>
  <c r="H4307" i="1"/>
  <c r="I4306" i="1"/>
  <c r="H4306" i="1"/>
  <c r="I4305" i="1"/>
  <c r="H4305" i="1"/>
  <c r="I4304" i="1"/>
  <c r="H4304" i="1"/>
  <c r="I4303" i="1"/>
  <c r="H4303" i="1"/>
  <c r="I4302" i="1"/>
  <c r="H4302" i="1"/>
  <c r="I4301" i="1"/>
  <c r="H4301" i="1"/>
  <c r="I4300" i="1"/>
  <c r="H4300" i="1"/>
  <c r="I4299" i="1"/>
  <c r="H4299" i="1"/>
  <c r="I4298" i="1"/>
  <c r="H4298" i="1"/>
  <c r="I4297" i="1"/>
  <c r="H4297" i="1"/>
  <c r="I4296" i="1"/>
  <c r="H4296" i="1"/>
  <c r="I4295" i="1"/>
  <c r="H4295" i="1"/>
  <c r="I4294" i="1"/>
  <c r="H4294" i="1"/>
  <c r="I4293" i="1"/>
  <c r="H4293" i="1"/>
  <c r="I4292" i="1"/>
  <c r="H4292" i="1"/>
  <c r="I4291" i="1"/>
  <c r="H4291" i="1"/>
  <c r="I4290" i="1"/>
  <c r="H4290" i="1"/>
  <c r="I4289" i="1"/>
  <c r="H4289" i="1"/>
  <c r="I4288" i="1"/>
  <c r="H4288" i="1"/>
  <c r="I4287" i="1"/>
  <c r="H4287" i="1"/>
  <c r="I4286" i="1"/>
  <c r="H4286" i="1"/>
  <c r="I4285" i="1"/>
  <c r="H4285" i="1"/>
  <c r="I4284" i="1"/>
  <c r="H4284" i="1"/>
  <c r="I4283" i="1"/>
  <c r="H4283" i="1"/>
  <c r="I4282" i="1"/>
  <c r="H4282" i="1"/>
  <c r="I4281" i="1"/>
  <c r="H4281" i="1"/>
  <c r="I4280" i="1"/>
  <c r="H4280" i="1"/>
  <c r="I4279" i="1"/>
  <c r="H4279" i="1"/>
  <c r="I4278" i="1"/>
  <c r="H4278" i="1"/>
  <c r="I4277" i="1"/>
  <c r="H4277" i="1"/>
  <c r="I4276" i="1"/>
  <c r="H4276" i="1"/>
  <c r="I4275" i="1"/>
  <c r="H4275" i="1"/>
  <c r="I4274" i="1"/>
  <c r="H4274" i="1"/>
  <c r="I4273" i="1"/>
  <c r="H4273" i="1"/>
  <c r="I4272" i="1"/>
  <c r="H4272" i="1"/>
  <c r="I4271" i="1"/>
  <c r="H4271" i="1"/>
  <c r="I4270" i="1"/>
  <c r="H4270" i="1"/>
  <c r="I4269" i="1"/>
  <c r="H4269" i="1"/>
  <c r="I4268" i="1"/>
  <c r="H4268" i="1"/>
  <c r="I4267" i="1"/>
  <c r="H4267" i="1"/>
  <c r="I4266" i="1"/>
  <c r="H4266" i="1"/>
  <c r="I4265" i="1"/>
  <c r="H4265" i="1"/>
  <c r="I4264" i="1"/>
  <c r="H4264" i="1"/>
  <c r="I4263" i="1"/>
  <c r="H4263" i="1"/>
  <c r="I4262" i="1"/>
  <c r="H4262" i="1"/>
  <c r="I4261" i="1"/>
  <c r="H4261" i="1"/>
  <c r="I4260" i="1"/>
  <c r="H4260" i="1"/>
  <c r="I4259" i="1"/>
  <c r="H4259" i="1"/>
  <c r="I4258" i="1"/>
  <c r="H4258" i="1"/>
  <c r="I4257" i="1"/>
  <c r="H4257" i="1"/>
  <c r="I4256" i="1"/>
  <c r="H4256" i="1"/>
  <c r="I4255" i="1"/>
  <c r="H4255" i="1"/>
  <c r="I4254" i="1"/>
  <c r="H4254" i="1"/>
  <c r="I4253" i="1"/>
  <c r="H4253" i="1"/>
  <c r="I4252" i="1"/>
  <c r="H4252" i="1"/>
  <c r="I4251" i="1"/>
  <c r="H4251" i="1"/>
  <c r="I4250" i="1"/>
  <c r="H4250" i="1"/>
  <c r="I4249" i="1"/>
  <c r="H4249" i="1"/>
  <c r="I4248" i="1"/>
  <c r="H4248" i="1"/>
  <c r="I4247" i="1"/>
  <c r="H4247" i="1"/>
  <c r="I4246" i="1"/>
  <c r="H4246" i="1"/>
  <c r="I4245" i="1"/>
  <c r="H4245" i="1"/>
  <c r="I4244" i="1"/>
  <c r="H4244" i="1"/>
  <c r="I4243" i="1"/>
  <c r="H4243" i="1"/>
  <c r="I4242" i="1"/>
  <c r="H4242" i="1"/>
  <c r="I4241" i="1"/>
  <c r="H4241" i="1"/>
  <c r="I4240" i="1"/>
  <c r="H4240" i="1"/>
  <c r="I4239" i="1"/>
  <c r="H4239" i="1"/>
  <c r="I4238" i="1"/>
  <c r="H4238" i="1"/>
  <c r="I4237" i="1"/>
  <c r="H4237" i="1"/>
  <c r="I4236" i="1"/>
  <c r="H4236" i="1"/>
  <c r="I4235" i="1"/>
  <c r="H4235" i="1"/>
  <c r="I4234" i="1"/>
  <c r="H4234" i="1"/>
  <c r="I4233" i="1"/>
  <c r="H4233" i="1"/>
  <c r="I4232" i="1"/>
  <c r="H4232" i="1"/>
  <c r="I4231" i="1"/>
  <c r="H4231" i="1"/>
  <c r="I4230" i="1"/>
  <c r="H4230" i="1"/>
  <c r="I4229" i="1"/>
  <c r="H4229" i="1"/>
  <c r="I4228" i="1"/>
  <c r="H4228" i="1"/>
  <c r="I4227" i="1"/>
  <c r="H4227" i="1"/>
  <c r="I4226" i="1"/>
  <c r="H4226" i="1"/>
  <c r="I4225" i="1"/>
  <c r="H4225" i="1"/>
  <c r="I4224" i="1"/>
  <c r="H4224" i="1"/>
  <c r="I4223" i="1"/>
  <c r="H4223" i="1"/>
  <c r="I4222" i="1"/>
  <c r="H4222" i="1"/>
  <c r="I4221" i="1"/>
  <c r="H4221" i="1"/>
  <c r="I4220" i="1"/>
  <c r="H4220" i="1"/>
  <c r="I4219" i="1"/>
  <c r="H4219" i="1"/>
  <c r="I4218" i="1"/>
  <c r="H4218" i="1"/>
  <c r="I4217" i="1"/>
  <c r="H4217" i="1"/>
  <c r="I4216" i="1"/>
  <c r="H4216" i="1"/>
  <c r="I4215" i="1"/>
  <c r="H4215" i="1"/>
  <c r="I4214" i="1"/>
  <c r="H4214" i="1"/>
  <c r="I4213" i="1"/>
  <c r="H4213" i="1"/>
  <c r="I4212" i="1"/>
  <c r="H4212" i="1"/>
  <c r="I4211" i="1"/>
  <c r="H4211" i="1"/>
  <c r="I4210" i="1"/>
  <c r="H4210" i="1"/>
  <c r="I4209" i="1"/>
  <c r="H4209" i="1"/>
  <c r="I4208" i="1"/>
  <c r="H4208" i="1"/>
  <c r="I4207" i="1"/>
  <c r="H4207" i="1"/>
  <c r="I4206" i="1"/>
  <c r="H4206" i="1"/>
  <c r="I4205" i="1"/>
  <c r="H4205" i="1"/>
  <c r="I4204" i="1"/>
  <c r="H4204" i="1"/>
  <c r="I4203" i="1"/>
  <c r="H4203" i="1"/>
  <c r="I4202" i="1"/>
  <c r="H4202" i="1"/>
  <c r="I4201" i="1"/>
  <c r="H4201" i="1"/>
  <c r="I4200" i="1"/>
  <c r="H4200" i="1"/>
  <c r="I4199" i="1"/>
  <c r="H4199" i="1"/>
  <c r="I4198" i="1"/>
  <c r="H4198" i="1"/>
  <c r="I4197" i="1"/>
  <c r="H4197" i="1"/>
  <c r="I4196" i="1"/>
  <c r="H4196" i="1"/>
  <c r="I4195" i="1"/>
  <c r="H4195" i="1"/>
  <c r="I4194" i="1"/>
  <c r="H4194" i="1"/>
  <c r="I4193" i="1"/>
  <c r="H4193" i="1"/>
  <c r="I4192" i="1"/>
  <c r="H4192" i="1"/>
  <c r="I4191" i="1"/>
  <c r="H4191" i="1"/>
  <c r="I4190" i="1"/>
  <c r="H4190" i="1"/>
  <c r="I4189" i="1"/>
  <c r="H4189" i="1"/>
  <c r="I4188" i="1"/>
  <c r="H4188" i="1"/>
  <c r="I4187" i="1"/>
  <c r="H4187" i="1"/>
  <c r="I4186" i="1"/>
  <c r="H4186" i="1"/>
  <c r="I4185" i="1"/>
  <c r="H4185" i="1"/>
  <c r="I4184" i="1"/>
  <c r="H4184" i="1"/>
  <c r="I4183" i="1"/>
  <c r="H4183" i="1"/>
  <c r="I4182" i="1"/>
  <c r="H4182" i="1"/>
  <c r="I4181" i="1"/>
  <c r="H4181" i="1"/>
  <c r="I4180" i="1"/>
  <c r="H4180" i="1"/>
  <c r="I4179" i="1"/>
  <c r="H4179" i="1"/>
  <c r="I4178" i="1"/>
  <c r="H4178" i="1"/>
  <c r="I4177" i="1"/>
  <c r="H4177" i="1"/>
  <c r="I4176" i="1"/>
  <c r="H4176" i="1"/>
  <c r="I4175" i="1"/>
  <c r="H4175" i="1"/>
  <c r="I4174" i="1"/>
  <c r="H4174" i="1"/>
  <c r="I4173" i="1"/>
  <c r="H4173" i="1"/>
  <c r="I4172" i="1"/>
  <c r="H4172" i="1"/>
  <c r="I4171" i="1"/>
  <c r="H4171" i="1"/>
  <c r="I4170" i="1"/>
  <c r="H4170" i="1"/>
  <c r="I4169" i="1"/>
  <c r="H4169" i="1"/>
  <c r="I4168" i="1"/>
  <c r="H4168" i="1"/>
  <c r="I4167" i="1"/>
  <c r="H4167" i="1"/>
  <c r="I4166" i="1"/>
  <c r="H4166" i="1"/>
  <c r="I4165" i="1"/>
  <c r="H4165" i="1"/>
  <c r="I4164" i="1"/>
  <c r="H4164" i="1"/>
  <c r="I4163" i="1"/>
  <c r="H4163" i="1"/>
  <c r="I4162" i="1"/>
  <c r="H4162" i="1"/>
  <c r="I4161" i="1"/>
  <c r="H4161" i="1"/>
  <c r="I4160" i="1"/>
  <c r="H4160" i="1"/>
  <c r="I4159" i="1"/>
  <c r="H4159" i="1"/>
  <c r="I4158" i="1"/>
  <c r="H4158" i="1"/>
  <c r="I4157" i="1"/>
  <c r="H4157" i="1"/>
  <c r="I4156" i="1"/>
  <c r="H4156" i="1"/>
  <c r="I4155" i="1"/>
  <c r="H4155" i="1"/>
  <c r="I4154" i="1"/>
  <c r="H4154" i="1"/>
  <c r="I4153" i="1"/>
  <c r="H4153" i="1"/>
  <c r="I4152" i="1"/>
  <c r="H4152" i="1"/>
  <c r="I4151" i="1"/>
  <c r="H4151" i="1"/>
  <c r="I4150" i="1"/>
  <c r="H4150" i="1"/>
  <c r="I4149" i="1"/>
  <c r="H4149" i="1"/>
  <c r="I4148" i="1"/>
  <c r="H4148" i="1"/>
  <c r="I4147" i="1"/>
  <c r="H4147" i="1"/>
  <c r="I4146" i="1"/>
  <c r="H4146" i="1"/>
  <c r="I4145" i="1"/>
  <c r="H4145" i="1"/>
  <c r="I4144" i="1"/>
  <c r="H4144" i="1"/>
  <c r="I4143" i="1"/>
  <c r="H4143" i="1"/>
  <c r="I4142" i="1"/>
  <c r="H4142" i="1"/>
  <c r="I4141" i="1"/>
  <c r="H4141" i="1"/>
  <c r="I4140" i="1"/>
  <c r="H4140" i="1"/>
  <c r="I4139" i="1"/>
  <c r="H4139" i="1"/>
  <c r="I4138" i="1"/>
  <c r="H4138" i="1"/>
  <c r="I4137" i="1"/>
  <c r="H4137" i="1"/>
  <c r="I4136" i="1"/>
  <c r="H4136" i="1"/>
  <c r="I4135" i="1"/>
  <c r="H4135" i="1"/>
  <c r="I4134" i="1"/>
  <c r="H4134" i="1"/>
  <c r="I4133" i="1"/>
  <c r="H4133" i="1"/>
  <c r="I4132" i="1"/>
  <c r="H4132" i="1"/>
  <c r="I4131" i="1"/>
  <c r="H4131" i="1"/>
  <c r="I4130" i="1"/>
  <c r="H4130" i="1"/>
  <c r="I4129" i="1"/>
  <c r="H4129" i="1"/>
  <c r="I4128" i="1"/>
  <c r="H4128" i="1"/>
  <c r="I4127" i="1"/>
  <c r="H4127" i="1"/>
  <c r="I4126" i="1"/>
  <c r="H4126" i="1"/>
  <c r="I4125" i="1"/>
  <c r="H4125" i="1"/>
  <c r="I4124" i="1"/>
  <c r="H4124" i="1"/>
  <c r="I4123" i="1"/>
  <c r="H4123" i="1"/>
  <c r="I4122" i="1"/>
  <c r="H4122" i="1"/>
  <c r="I4121" i="1"/>
  <c r="H4121" i="1"/>
  <c r="I4120" i="1"/>
  <c r="H4120" i="1"/>
  <c r="I4119" i="1"/>
  <c r="H4119" i="1"/>
  <c r="I4118" i="1"/>
  <c r="H4118" i="1"/>
  <c r="I4117" i="1"/>
  <c r="H4117" i="1"/>
  <c r="I4116" i="1"/>
  <c r="H4116" i="1"/>
  <c r="I4115" i="1"/>
  <c r="H4115" i="1"/>
  <c r="I4114" i="1"/>
  <c r="H4114" i="1"/>
  <c r="I4113" i="1"/>
  <c r="H4113" i="1"/>
  <c r="I4112" i="1"/>
  <c r="H4112" i="1"/>
  <c r="I4111" i="1"/>
  <c r="H4111" i="1"/>
  <c r="I4110" i="1"/>
  <c r="H4110" i="1"/>
  <c r="I4109" i="1"/>
  <c r="H4109" i="1"/>
  <c r="I4108" i="1"/>
  <c r="H4108" i="1"/>
  <c r="I4107" i="1"/>
  <c r="H4107" i="1"/>
  <c r="I4106" i="1"/>
  <c r="H4106" i="1"/>
  <c r="I4105" i="1"/>
  <c r="H4105" i="1"/>
  <c r="I4104" i="1"/>
  <c r="H4104" i="1"/>
  <c r="I4103" i="1"/>
  <c r="H4103" i="1"/>
  <c r="I4102" i="1"/>
  <c r="H4102" i="1"/>
  <c r="I4101" i="1"/>
  <c r="H4101" i="1"/>
  <c r="I4100" i="1"/>
  <c r="H4100" i="1"/>
  <c r="I4099" i="1"/>
  <c r="H4099" i="1"/>
  <c r="I4098" i="1"/>
  <c r="H4098" i="1"/>
  <c r="I4097" i="1"/>
  <c r="H4097" i="1"/>
  <c r="I4096" i="1"/>
  <c r="H4096" i="1"/>
  <c r="I4095" i="1"/>
  <c r="H4095" i="1"/>
  <c r="I4094" i="1"/>
  <c r="H4094" i="1"/>
  <c r="I4093" i="1"/>
  <c r="H4093" i="1"/>
  <c r="I4092" i="1"/>
  <c r="H4092" i="1"/>
  <c r="I4091" i="1"/>
  <c r="H4091" i="1"/>
  <c r="I4090" i="1"/>
  <c r="H4090" i="1"/>
  <c r="I4089" i="1"/>
  <c r="H4089" i="1"/>
  <c r="I4088" i="1"/>
  <c r="H4088" i="1"/>
  <c r="I4087" i="1"/>
  <c r="H4087" i="1"/>
  <c r="I4086" i="1"/>
  <c r="H4086" i="1"/>
  <c r="I4085" i="1"/>
  <c r="H4085" i="1"/>
  <c r="I4084" i="1"/>
  <c r="H4084" i="1"/>
  <c r="I4083" i="1"/>
  <c r="H4083" i="1"/>
  <c r="I4082" i="1"/>
  <c r="H4082" i="1"/>
  <c r="I4081" i="1"/>
  <c r="H4081" i="1"/>
  <c r="I4080" i="1"/>
  <c r="H4080" i="1"/>
  <c r="I4079" i="1"/>
  <c r="H4079" i="1"/>
  <c r="I4078" i="1"/>
  <c r="H4078" i="1"/>
  <c r="I4077" i="1"/>
  <c r="H4077" i="1"/>
  <c r="I4076" i="1"/>
  <c r="H4076" i="1"/>
  <c r="I4075" i="1"/>
  <c r="H4075" i="1"/>
  <c r="I4074" i="1"/>
  <c r="H4074" i="1"/>
  <c r="I4073" i="1"/>
  <c r="H4073" i="1"/>
  <c r="I4072" i="1"/>
  <c r="H4072" i="1"/>
  <c r="I4071" i="1"/>
  <c r="H4071" i="1"/>
  <c r="I4070" i="1"/>
  <c r="H4070" i="1"/>
  <c r="I4069" i="1"/>
  <c r="H4069" i="1"/>
  <c r="I4068" i="1"/>
  <c r="H4068" i="1"/>
  <c r="I4067" i="1"/>
  <c r="H4067" i="1"/>
  <c r="I4066" i="1"/>
  <c r="H4066" i="1"/>
  <c r="I4065" i="1"/>
  <c r="H4065" i="1"/>
  <c r="I4064" i="1"/>
  <c r="H4064" i="1"/>
  <c r="I4063" i="1"/>
  <c r="H4063" i="1"/>
  <c r="I4062" i="1"/>
  <c r="H4062" i="1"/>
  <c r="I4061" i="1"/>
  <c r="H4061" i="1"/>
  <c r="I4060" i="1"/>
  <c r="H4060" i="1"/>
  <c r="I4059" i="1"/>
  <c r="H4059" i="1"/>
  <c r="I4058" i="1"/>
  <c r="H4058" i="1"/>
  <c r="I4057" i="1"/>
  <c r="H4057" i="1"/>
  <c r="I4056" i="1"/>
  <c r="H4056" i="1"/>
  <c r="I4055" i="1"/>
  <c r="H4055" i="1"/>
  <c r="I4054" i="1"/>
  <c r="H4054" i="1"/>
  <c r="I4053" i="1"/>
  <c r="H4053" i="1"/>
  <c r="I4052" i="1"/>
  <c r="H4052" i="1"/>
  <c r="I4051" i="1"/>
  <c r="H4051" i="1"/>
  <c r="I4050" i="1"/>
  <c r="H4050" i="1"/>
  <c r="I4049" i="1"/>
  <c r="H4049" i="1"/>
  <c r="I4048" i="1"/>
  <c r="H4048" i="1"/>
  <c r="I4047" i="1"/>
  <c r="H4047" i="1"/>
  <c r="I4046" i="1"/>
  <c r="H4046" i="1"/>
  <c r="I4045" i="1"/>
  <c r="H4045" i="1"/>
  <c r="I4044" i="1"/>
  <c r="H4044" i="1"/>
  <c r="I4043" i="1"/>
  <c r="H4043" i="1"/>
  <c r="I4042" i="1"/>
  <c r="H4042" i="1"/>
  <c r="I4041" i="1"/>
  <c r="H4041" i="1"/>
  <c r="I4040" i="1"/>
  <c r="H4040" i="1"/>
  <c r="I4039" i="1"/>
  <c r="H4039" i="1"/>
  <c r="I4038" i="1"/>
  <c r="H4038" i="1"/>
  <c r="I4037" i="1"/>
  <c r="H4037" i="1"/>
  <c r="I4036" i="1"/>
  <c r="H4036" i="1"/>
  <c r="I4035" i="1"/>
  <c r="H4035" i="1"/>
  <c r="I4034" i="1"/>
  <c r="H4034" i="1"/>
  <c r="I4033" i="1"/>
  <c r="H4033" i="1"/>
  <c r="I4032" i="1"/>
  <c r="H4032" i="1"/>
  <c r="I4031" i="1"/>
  <c r="H4031" i="1"/>
  <c r="I4030" i="1"/>
  <c r="H4030" i="1"/>
  <c r="I4029" i="1"/>
  <c r="H4029" i="1"/>
  <c r="I4028" i="1"/>
  <c r="H4028" i="1"/>
  <c r="I4027" i="1"/>
  <c r="H4027" i="1"/>
  <c r="I4026" i="1"/>
  <c r="H4026" i="1"/>
  <c r="I4025" i="1"/>
  <c r="H4025" i="1"/>
  <c r="I4024" i="1"/>
  <c r="H4024" i="1"/>
  <c r="I4023" i="1"/>
  <c r="H4023" i="1"/>
  <c r="I4022" i="1"/>
  <c r="H4022" i="1"/>
  <c r="I4021" i="1"/>
  <c r="H4021" i="1"/>
  <c r="I4020" i="1"/>
  <c r="H4020" i="1"/>
  <c r="I4019" i="1"/>
  <c r="H4019" i="1"/>
  <c r="I4018" i="1"/>
  <c r="H4018" i="1"/>
  <c r="I4017" i="1"/>
  <c r="H4017" i="1"/>
  <c r="I4016" i="1"/>
  <c r="H4016" i="1"/>
  <c r="I4015" i="1"/>
  <c r="H4015" i="1"/>
  <c r="I4014" i="1"/>
  <c r="H4014" i="1"/>
  <c r="I4013" i="1"/>
  <c r="H4013" i="1"/>
  <c r="I4012" i="1"/>
  <c r="H4012" i="1"/>
  <c r="I4011" i="1"/>
  <c r="H4011" i="1"/>
  <c r="I4010" i="1"/>
  <c r="H4010" i="1"/>
  <c r="I4009" i="1"/>
  <c r="H4009" i="1"/>
  <c r="I4008" i="1"/>
  <c r="H4008" i="1"/>
  <c r="I4007" i="1"/>
  <c r="H4007" i="1"/>
  <c r="I4006" i="1"/>
  <c r="H4006" i="1"/>
  <c r="I4005" i="1"/>
  <c r="H4005" i="1"/>
  <c r="I4004" i="1"/>
  <c r="H4004" i="1"/>
  <c r="I4003" i="1"/>
  <c r="H4003" i="1"/>
  <c r="I4002" i="1"/>
  <c r="H4002" i="1"/>
  <c r="I4001" i="1"/>
  <c r="H4001" i="1"/>
  <c r="I4000" i="1"/>
  <c r="H4000" i="1"/>
  <c r="I3999" i="1"/>
  <c r="H3999" i="1"/>
  <c r="I3998" i="1"/>
  <c r="H3998" i="1"/>
  <c r="I3997" i="1"/>
  <c r="H3997" i="1"/>
  <c r="I3996" i="1"/>
  <c r="H3996" i="1"/>
  <c r="I3995" i="1"/>
  <c r="H3995" i="1"/>
  <c r="I3994" i="1"/>
  <c r="H3994" i="1"/>
  <c r="I3993" i="1"/>
  <c r="H3993" i="1"/>
  <c r="I3992" i="1"/>
  <c r="H3992" i="1"/>
  <c r="I3991" i="1"/>
  <c r="H3991" i="1"/>
  <c r="I3990" i="1"/>
  <c r="H3990" i="1"/>
  <c r="I3989" i="1"/>
  <c r="H3989" i="1"/>
  <c r="I3988" i="1"/>
  <c r="H3988" i="1"/>
  <c r="I3987" i="1"/>
  <c r="H3987" i="1"/>
  <c r="I3986" i="1"/>
  <c r="H3986" i="1"/>
  <c r="I3985" i="1"/>
  <c r="H3985" i="1"/>
  <c r="I3984" i="1"/>
  <c r="H3984" i="1"/>
  <c r="I3983" i="1"/>
  <c r="H3983" i="1"/>
  <c r="I3982" i="1"/>
  <c r="H3982" i="1"/>
  <c r="I3981" i="1"/>
  <c r="H3981" i="1"/>
  <c r="I3980" i="1"/>
  <c r="H3980" i="1"/>
  <c r="I3979" i="1"/>
  <c r="H3979" i="1"/>
  <c r="I3978" i="1"/>
  <c r="H3978" i="1"/>
  <c r="I3977" i="1"/>
  <c r="H3977" i="1"/>
  <c r="I3976" i="1"/>
  <c r="H3976" i="1"/>
  <c r="I3975" i="1"/>
  <c r="H3975" i="1"/>
  <c r="I3974" i="1"/>
  <c r="H3974" i="1"/>
  <c r="I3973" i="1"/>
  <c r="H3973" i="1"/>
  <c r="I3972" i="1"/>
  <c r="H3972" i="1"/>
  <c r="I3971" i="1"/>
  <c r="H3971" i="1"/>
  <c r="I3970" i="1"/>
  <c r="H3970" i="1"/>
  <c r="I3969" i="1"/>
  <c r="H3969" i="1"/>
  <c r="I3968" i="1"/>
  <c r="H3968" i="1"/>
  <c r="I3967" i="1"/>
  <c r="H3967" i="1"/>
  <c r="I3966" i="1"/>
  <c r="H3966" i="1"/>
  <c r="I3965" i="1"/>
  <c r="H3965" i="1"/>
  <c r="I3964" i="1"/>
  <c r="H3964" i="1"/>
  <c r="I3963" i="1"/>
  <c r="H3963" i="1"/>
  <c r="I3962" i="1"/>
  <c r="H3962" i="1"/>
  <c r="I3961" i="1"/>
  <c r="H3961" i="1"/>
  <c r="I3960" i="1"/>
  <c r="H3960" i="1"/>
  <c r="I3959" i="1"/>
  <c r="H3959" i="1"/>
  <c r="I3958" i="1"/>
  <c r="H3958" i="1"/>
  <c r="I3957" i="1"/>
  <c r="H3957" i="1"/>
  <c r="I3956" i="1"/>
  <c r="H3956" i="1"/>
  <c r="I3955" i="1"/>
  <c r="H3955" i="1"/>
  <c r="I3954" i="1"/>
  <c r="H3954" i="1"/>
  <c r="I3953" i="1"/>
  <c r="H3953" i="1"/>
  <c r="I3952" i="1"/>
  <c r="H3952" i="1"/>
  <c r="I3951" i="1"/>
  <c r="H3951" i="1"/>
  <c r="I3950" i="1"/>
  <c r="H3950" i="1"/>
  <c r="I3949" i="1"/>
  <c r="H3949" i="1"/>
  <c r="I3948" i="1"/>
  <c r="H3948" i="1"/>
  <c r="I3947" i="1"/>
  <c r="H3947" i="1"/>
  <c r="I3946" i="1"/>
  <c r="H3946" i="1"/>
  <c r="I3945" i="1"/>
  <c r="H3945" i="1"/>
  <c r="I3944" i="1"/>
  <c r="H3944" i="1"/>
  <c r="I3943" i="1"/>
  <c r="H3943" i="1"/>
  <c r="I3942" i="1"/>
  <c r="H3942" i="1"/>
  <c r="I3941" i="1"/>
  <c r="H3941" i="1"/>
  <c r="I3940" i="1"/>
  <c r="H3940" i="1"/>
  <c r="I3939" i="1"/>
  <c r="H3939" i="1"/>
  <c r="I3938" i="1"/>
  <c r="H3938" i="1"/>
  <c r="I3937" i="1"/>
  <c r="H3937" i="1"/>
  <c r="I3936" i="1"/>
  <c r="H3936" i="1"/>
  <c r="I3935" i="1"/>
  <c r="H3935" i="1"/>
  <c r="I3934" i="1"/>
  <c r="H3934" i="1"/>
  <c r="I3933" i="1"/>
  <c r="H3933" i="1"/>
  <c r="I3932" i="1"/>
  <c r="H3932" i="1"/>
  <c r="I3931" i="1"/>
  <c r="H3931" i="1"/>
  <c r="I3930" i="1"/>
  <c r="H3930" i="1"/>
  <c r="I3929" i="1"/>
  <c r="H3929" i="1"/>
  <c r="I3928" i="1"/>
  <c r="H3928" i="1"/>
  <c r="I3927" i="1"/>
  <c r="H3927" i="1"/>
  <c r="I3926" i="1"/>
  <c r="H3926" i="1"/>
  <c r="I3925" i="1"/>
  <c r="H3925" i="1"/>
  <c r="I3924" i="1"/>
  <c r="H3924" i="1"/>
  <c r="I3923" i="1"/>
  <c r="H3923" i="1"/>
  <c r="I3922" i="1"/>
  <c r="H3922" i="1"/>
  <c r="I3921" i="1"/>
  <c r="H3921" i="1"/>
  <c r="I3920" i="1"/>
  <c r="H3920" i="1"/>
  <c r="I3919" i="1"/>
  <c r="H3919" i="1"/>
  <c r="I3918" i="1"/>
  <c r="H3918" i="1"/>
  <c r="I3917" i="1"/>
  <c r="H3917" i="1"/>
  <c r="I3916" i="1"/>
  <c r="H3916" i="1"/>
  <c r="I3915" i="1"/>
  <c r="H3915" i="1"/>
  <c r="I3914" i="1"/>
  <c r="H3914" i="1"/>
  <c r="I3913" i="1"/>
  <c r="H3913" i="1"/>
  <c r="I3912" i="1"/>
  <c r="H3912" i="1"/>
  <c r="I3911" i="1"/>
  <c r="H3911" i="1"/>
  <c r="I3910" i="1"/>
  <c r="H3910" i="1"/>
  <c r="I3909" i="1"/>
  <c r="H3909" i="1"/>
  <c r="I3908" i="1"/>
  <c r="H3908" i="1"/>
  <c r="I3907" i="1"/>
  <c r="H3907" i="1"/>
  <c r="I3906" i="1"/>
  <c r="H3906" i="1"/>
  <c r="I3905" i="1"/>
  <c r="H3905" i="1"/>
  <c r="I3904" i="1"/>
  <c r="H3904" i="1"/>
  <c r="I3903" i="1"/>
  <c r="H3903" i="1"/>
  <c r="I3902" i="1"/>
  <c r="H3902" i="1"/>
  <c r="I3901" i="1"/>
  <c r="H3901" i="1"/>
  <c r="I3900" i="1"/>
  <c r="H3900" i="1"/>
  <c r="I3899" i="1"/>
  <c r="H3899" i="1"/>
  <c r="I3898" i="1"/>
  <c r="H3898" i="1"/>
  <c r="I3897" i="1"/>
  <c r="H3897" i="1"/>
  <c r="I3896" i="1"/>
  <c r="H3896" i="1"/>
  <c r="I3895" i="1"/>
  <c r="H3895" i="1"/>
  <c r="I3894" i="1"/>
  <c r="H3894" i="1"/>
  <c r="I3893" i="1"/>
  <c r="H3893" i="1"/>
  <c r="I3892" i="1"/>
  <c r="H3892" i="1"/>
  <c r="I3891" i="1"/>
  <c r="H3891" i="1"/>
  <c r="I3890" i="1"/>
  <c r="H3890" i="1"/>
  <c r="I3889" i="1"/>
  <c r="H3889" i="1"/>
  <c r="I3888" i="1"/>
  <c r="H3888" i="1"/>
  <c r="I3887" i="1"/>
  <c r="H3887" i="1"/>
  <c r="I3886" i="1"/>
  <c r="H3886" i="1"/>
  <c r="I3885" i="1"/>
  <c r="H3885" i="1"/>
  <c r="I3884" i="1"/>
  <c r="H3884" i="1"/>
  <c r="I3883" i="1"/>
  <c r="H3883" i="1"/>
  <c r="I3882" i="1"/>
  <c r="H3882" i="1"/>
  <c r="I3881" i="1"/>
  <c r="H3881" i="1"/>
  <c r="I3880" i="1"/>
  <c r="H3880" i="1"/>
  <c r="I3879" i="1"/>
  <c r="H3879" i="1"/>
  <c r="I3878" i="1"/>
  <c r="H3878" i="1"/>
  <c r="I3877" i="1"/>
  <c r="H3877" i="1"/>
  <c r="I3876" i="1"/>
  <c r="H3876" i="1"/>
  <c r="I3875" i="1"/>
  <c r="H3875" i="1"/>
  <c r="I3874" i="1"/>
  <c r="H3874" i="1"/>
  <c r="I3873" i="1"/>
  <c r="H3873" i="1"/>
  <c r="I3872" i="1"/>
  <c r="H3872" i="1"/>
  <c r="I3871" i="1"/>
  <c r="H3871" i="1"/>
  <c r="I3870" i="1"/>
  <c r="H3870" i="1"/>
  <c r="I3869" i="1"/>
  <c r="H3869" i="1"/>
  <c r="I3868" i="1"/>
  <c r="H3868" i="1"/>
  <c r="I3867" i="1"/>
  <c r="H3867" i="1"/>
  <c r="I3866" i="1"/>
  <c r="H3866" i="1"/>
  <c r="I3865" i="1"/>
  <c r="H3865" i="1"/>
  <c r="I3864" i="1"/>
  <c r="H3864" i="1"/>
  <c r="I3863" i="1"/>
  <c r="H3863" i="1"/>
  <c r="I3862" i="1"/>
  <c r="H3862" i="1"/>
  <c r="I3861" i="1"/>
  <c r="H3861" i="1"/>
  <c r="I3860" i="1"/>
  <c r="H3860" i="1"/>
  <c r="I3859" i="1"/>
  <c r="H3859" i="1"/>
  <c r="I3858" i="1"/>
  <c r="H3858" i="1"/>
  <c r="I3857" i="1"/>
  <c r="H3857" i="1"/>
  <c r="I3856" i="1"/>
  <c r="H3856" i="1"/>
  <c r="I3855" i="1"/>
  <c r="H3855" i="1"/>
  <c r="I3854" i="1"/>
  <c r="H3854" i="1"/>
  <c r="I3853" i="1"/>
  <c r="H3853" i="1"/>
  <c r="I3852" i="1"/>
  <c r="H3852" i="1"/>
  <c r="I3851" i="1"/>
  <c r="H3851" i="1"/>
  <c r="I3850" i="1"/>
  <c r="H3850" i="1"/>
  <c r="I3849" i="1"/>
  <c r="H3849" i="1"/>
  <c r="I3848" i="1"/>
  <c r="H3848" i="1"/>
  <c r="I3847" i="1"/>
  <c r="H3847" i="1"/>
  <c r="I3846" i="1"/>
  <c r="H3846" i="1"/>
  <c r="I3845" i="1"/>
  <c r="H3845" i="1"/>
  <c r="I3844" i="1"/>
  <c r="H3844" i="1"/>
  <c r="I3843" i="1"/>
  <c r="H3843" i="1"/>
  <c r="I3842" i="1"/>
  <c r="H3842" i="1"/>
  <c r="I3841" i="1"/>
  <c r="H3841" i="1"/>
  <c r="I3840" i="1"/>
  <c r="H3840" i="1"/>
  <c r="I3839" i="1"/>
  <c r="H3839" i="1"/>
  <c r="I3838" i="1"/>
  <c r="H3838" i="1"/>
  <c r="I3837" i="1"/>
  <c r="H3837" i="1"/>
  <c r="I3836" i="1"/>
  <c r="H3836" i="1"/>
  <c r="I3835" i="1"/>
  <c r="H3835" i="1"/>
  <c r="I3834" i="1"/>
  <c r="H3834" i="1"/>
  <c r="I3833" i="1"/>
  <c r="H3833" i="1"/>
  <c r="I3832" i="1"/>
  <c r="H3832" i="1"/>
  <c r="I3831" i="1"/>
  <c r="H3831" i="1"/>
  <c r="I3830" i="1"/>
  <c r="H3830" i="1"/>
  <c r="I3829" i="1"/>
  <c r="H3829" i="1"/>
  <c r="I3828" i="1"/>
  <c r="H3828" i="1"/>
  <c r="I3827" i="1"/>
  <c r="H3827" i="1"/>
  <c r="I3826" i="1"/>
  <c r="H3826" i="1"/>
  <c r="I3825" i="1"/>
  <c r="H3825" i="1"/>
  <c r="I3824" i="1"/>
  <c r="H3824" i="1"/>
  <c r="I3823" i="1"/>
  <c r="H3823" i="1"/>
  <c r="I3822" i="1"/>
  <c r="H3822" i="1"/>
  <c r="I3821" i="1"/>
  <c r="H3821" i="1"/>
  <c r="I3820" i="1"/>
  <c r="H3820" i="1"/>
  <c r="I3819" i="1"/>
  <c r="H3819" i="1"/>
  <c r="I3818" i="1"/>
  <c r="H3818" i="1"/>
  <c r="I3817" i="1"/>
  <c r="H3817" i="1"/>
  <c r="I3816" i="1"/>
  <c r="H3816" i="1"/>
  <c r="I3815" i="1"/>
  <c r="H3815" i="1"/>
  <c r="I3814" i="1"/>
  <c r="H3814" i="1"/>
  <c r="I3813" i="1"/>
  <c r="H3813" i="1"/>
  <c r="I3812" i="1"/>
  <c r="H3812" i="1"/>
  <c r="I3811" i="1"/>
  <c r="H3811" i="1"/>
  <c r="I3810" i="1"/>
  <c r="H3810" i="1"/>
  <c r="I3809" i="1"/>
  <c r="H3809" i="1"/>
  <c r="I3808" i="1"/>
  <c r="H3808" i="1"/>
  <c r="I3807" i="1"/>
  <c r="H3807" i="1"/>
  <c r="I3806" i="1"/>
  <c r="H3806" i="1"/>
  <c r="I3805" i="1"/>
  <c r="H3805" i="1"/>
  <c r="I3804" i="1"/>
  <c r="H3804" i="1"/>
  <c r="I3803" i="1"/>
  <c r="H3803" i="1"/>
  <c r="I3802" i="1"/>
  <c r="H3802" i="1"/>
  <c r="I3801" i="1"/>
  <c r="H3801" i="1"/>
  <c r="I3800" i="1"/>
  <c r="H3800" i="1"/>
  <c r="I3799" i="1"/>
  <c r="H3799" i="1"/>
  <c r="I3798" i="1"/>
  <c r="H3798" i="1"/>
  <c r="I3797" i="1"/>
  <c r="H3797" i="1"/>
  <c r="I3796" i="1"/>
  <c r="H3796" i="1"/>
  <c r="I3795" i="1"/>
  <c r="H3795" i="1"/>
  <c r="I3794" i="1"/>
  <c r="H3794" i="1"/>
  <c r="I3793" i="1"/>
  <c r="H3793" i="1"/>
  <c r="I3792" i="1"/>
  <c r="H3792" i="1"/>
  <c r="I3791" i="1"/>
  <c r="H3791" i="1"/>
  <c r="I3790" i="1"/>
  <c r="H3790" i="1"/>
  <c r="I3789" i="1"/>
  <c r="H3789" i="1"/>
  <c r="I3788" i="1"/>
  <c r="H3788" i="1"/>
  <c r="I3787" i="1"/>
  <c r="H3787" i="1"/>
  <c r="I3786" i="1"/>
  <c r="H3786" i="1"/>
  <c r="I3785" i="1"/>
  <c r="H3785" i="1"/>
  <c r="I3784" i="1"/>
  <c r="H3784" i="1"/>
  <c r="I3783" i="1"/>
  <c r="H3783" i="1"/>
  <c r="I3782" i="1"/>
  <c r="H3782" i="1"/>
  <c r="I3781" i="1"/>
  <c r="H3781" i="1"/>
  <c r="I3780" i="1"/>
  <c r="H3780" i="1"/>
  <c r="I3779" i="1"/>
  <c r="H3779" i="1"/>
  <c r="I3778" i="1"/>
  <c r="H3778" i="1"/>
  <c r="I3777" i="1"/>
  <c r="H3777" i="1"/>
  <c r="I3776" i="1"/>
  <c r="H3776" i="1"/>
  <c r="I3775" i="1"/>
  <c r="H3775" i="1"/>
  <c r="I3774" i="1"/>
  <c r="H3774" i="1"/>
  <c r="I3773" i="1"/>
  <c r="H3773" i="1"/>
  <c r="I3772" i="1"/>
  <c r="H3772" i="1"/>
  <c r="I3771" i="1"/>
  <c r="H3771" i="1"/>
  <c r="I3770" i="1"/>
  <c r="H3770" i="1"/>
  <c r="I3769" i="1"/>
  <c r="H3769" i="1"/>
  <c r="I3768" i="1"/>
  <c r="H3768" i="1"/>
  <c r="I3767" i="1"/>
  <c r="H3767" i="1"/>
  <c r="I3766" i="1"/>
  <c r="H3766" i="1"/>
  <c r="I3765" i="1"/>
  <c r="H3765" i="1"/>
  <c r="I3764" i="1"/>
  <c r="H3764" i="1"/>
  <c r="I3763" i="1"/>
  <c r="H3763" i="1"/>
  <c r="I3762" i="1"/>
  <c r="H3762" i="1"/>
  <c r="I3761" i="1"/>
  <c r="H3761" i="1"/>
  <c r="I3760" i="1"/>
  <c r="H3760" i="1"/>
  <c r="I3759" i="1"/>
  <c r="H3759" i="1"/>
  <c r="I3758" i="1"/>
  <c r="H3758" i="1"/>
  <c r="I3757" i="1"/>
  <c r="H3757" i="1"/>
  <c r="I3756" i="1"/>
  <c r="H3756" i="1"/>
  <c r="I3755" i="1"/>
  <c r="H3755" i="1"/>
  <c r="I3754" i="1"/>
  <c r="H3754" i="1"/>
  <c r="I3753" i="1"/>
  <c r="H3753" i="1"/>
  <c r="I3752" i="1"/>
  <c r="H3752" i="1"/>
  <c r="I3751" i="1"/>
  <c r="H3751" i="1"/>
  <c r="I3750" i="1"/>
  <c r="H3750" i="1"/>
  <c r="I3749" i="1"/>
  <c r="H3749" i="1"/>
  <c r="I3748" i="1"/>
  <c r="H3748" i="1"/>
  <c r="I3747" i="1"/>
  <c r="H3747" i="1"/>
  <c r="I3746" i="1"/>
  <c r="H3746" i="1"/>
  <c r="I3745" i="1"/>
  <c r="H3745" i="1"/>
  <c r="I3744" i="1"/>
  <c r="H3744" i="1"/>
  <c r="I3743" i="1"/>
  <c r="H3743" i="1"/>
  <c r="I3742" i="1"/>
  <c r="H3742" i="1"/>
  <c r="I3741" i="1"/>
  <c r="H3741" i="1"/>
  <c r="I3740" i="1"/>
  <c r="H3740" i="1"/>
  <c r="I3739" i="1"/>
  <c r="H3739" i="1"/>
  <c r="I3738" i="1"/>
  <c r="H3738" i="1"/>
  <c r="I3737" i="1"/>
  <c r="H3737" i="1"/>
  <c r="I3736" i="1"/>
  <c r="H3736" i="1"/>
  <c r="I3735" i="1"/>
  <c r="H3735" i="1"/>
  <c r="I3734" i="1"/>
  <c r="H3734" i="1"/>
  <c r="I3733" i="1"/>
  <c r="H3733" i="1"/>
  <c r="I3732" i="1"/>
  <c r="H3732" i="1"/>
  <c r="I3731" i="1"/>
  <c r="H3731" i="1"/>
  <c r="I3730" i="1"/>
  <c r="H3730" i="1"/>
  <c r="I3729" i="1"/>
  <c r="H3729" i="1"/>
  <c r="I3728" i="1"/>
  <c r="H3728" i="1"/>
  <c r="I3727" i="1"/>
  <c r="H3727" i="1"/>
  <c r="I3726" i="1"/>
  <c r="H3726" i="1"/>
  <c r="I3725" i="1"/>
  <c r="H3725" i="1"/>
  <c r="I3724" i="1"/>
  <c r="H3724" i="1"/>
  <c r="I3723" i="1"/>
  <c r="H3723" i="1"/>
  <c r="I3722" i="1"/>
  <c r="H3722" i="1"/>
  <c r="I3721" i="1"/>
  <c r="H3721" i="1"/>
  <c r="I3720" i="1"/>
  <c r="H3720" i="1"/>
  <c r="I3719" i="1"/>
  <c r="H3719" i="1"/>
  <c r="I3718" i="1"/>
  <c r="H3718" i="1"/>
  <c r="I3717" i="1"/>
  <c r="H3717" i="1"/>
  <c r="I3716" i="1"/>
  <c r="H3716" i="1"/>
  <c r="I3715" i="1"/>
  <c r="H3715" i="1"/>
  <c r="I3714" i="1"/>
  <c r="H3714" i="1"/>
  <c r="I3713" i="1"/>
  <c r="H3713" i="1"/>
  <c r="I3712" i="1"/>
  <c r="H3712" i="1"/>
  <c r="I3711" i="1"/>
  <c r="H3711" i="1"/>
  <c r="I3710" i="1"/>
  <c r="H3710" i="1"/>
  <c r="I3709" i="1"/>
  <c r="H3709" i="1"/>
  <c r="I3708" i="1"/>
  <c r="H3708" i="1"/>
  <c r="I3707" i="1"/>
  <c r="H3707" i="1"/>
  <c r="I3706" i="1"/>
  <c r="H3706" i="1"/>
  <c r="I3705" i="1"/>
  <c r="H3705" i="1"/>
  <c r="I3704" i="1"/>
  <c r="H3704" i="1"/>
  <c r="I3703" i="1"/>
  <c r="H3703" i="1"/>
  <c r="I3702" i="1"/>
  <c r="H3702" i="1"/>
  <c r="I3701" i="1"/>
  <c r="H3701" i="1"/>
  <c r="I3700" i="1"/>
  <c r="H3700" i="1"/>
  <c r="I3699" i="1"/>
  <c r="H3699" i="1"/>
  <c r="I3698" i="1"/>
  <c r="H3698" i="1"/>
  <c r="I3697" i="1"/>
  <c r="H3697" i="1"/>
  <c r="I3696" i="1"/>
  <c r="H3696" i="1"/>
  <c r="I3695" i="1"/>
  <c r="H3695" i="1"/>
  <c r="I3694" i="1"/>
  <c r="H3694" i="1"/>
  <c r="I3693" i="1"/>
  <c r="H3693" i="1"/>
  <c r="I3692" i="1"/>
  <c r="H3692" i="1"/>
  <c r="I3691" i="1"/>
  <c r="H3691" i="1"/>
  <c r="I3690" i="1"/>
  <c r="H3690" i="1"/>
  <c r="I3689" i="1"/>
  <c r="H3689" i="1"/>
  <c r="I3688" i="1"/>
  <c r="H3688" i="1"/>
  <c r="I3687" i="1"/>
  <c r="H3687" i="1"/>
  <c r="I3686" i="1"/>
  <c r="H3686" i="1"/>
  <c r="I3685" i="1"/>
  <c r="H3685" i="1"/>
  <c r="I3684" i="1"/>
  <c r="H3684" i="1"/>
  <c r="I3683" i="1"/>
  <c r="H3683" i="1"/>
  <c r="I3682" i="1"/>
  <c r="H3682" i="1"/>
  <c r="I3681" i="1"/>
  <c r="H3681" i="1"/>
  <c r="I3680" i="1"/>
  <c r="H3680" i="1"/>
  <c r="I3679" i="1"/>
  <c r="H3679" i="1"/>
  <c r="I3678" i="1"/>
  <c r="H3678" i="1"/>
  <c r="I3677" i="1"/>
  <c r="H3677" i="1"/>
  <c r="I3676" i="1"/>
  <c r="H3676" i="1"/>
  <c r="I3675" i="1"/>
  <c r="H3675" i="1"/>
  <c r="I3674" i="1"/>
  <c r="H3674" i="1"/>
  <c r="I3673" i="1"/>
  <c r="H3673" i="1"/>
  <c r="I3672" i="1"/>
  <c r="H3672" i="1"/>
  <c r="I3671" i="1"/>
  <c r="H3671" i="1"/>
  <c r="I3670" i="1"/>
  <c r="H3670" i="1"/>
  <c r="I3669" i="1"/>
  <c r="H3669" i="1"/>
  <c r="I3668" i="1"/>
  <c r="H3668" i="1"/>
  <c r="I3667" i="1"/>
  <c r="H3667" i="1"/>
  <c r="I3666" i="1"/>
  <c r="H3666" i="1"/>
  <c r="I3665" i="1"/>
  <c r="H3665" i="1"/>
  <c r="I3664" i="1"/>
  <c r="H3664" i="1"/>
  <c r="I3663" i="1"/>
  <c r="H3663" i="1"/>
  <c r="I3662" i="1"/>
  <c r="H3662" i="1"/>
  <c r="I3661" i="1"/>
  <c r="H3661" i="1"/>
  <c r="I3660" i="1"/>
  <c r="H3660" i="1"/>
  <c r="I3659" i="1"/>
  <c r="H3659" i="1"/>
  <c r="I3658" i="1"/>
  <c r="H3658" i="1"/>
  <c r="I3657" i="1"/>
  <c r="H3657" i="1"/>
  <c r="I3656" i="1"/>
  <c r="H3656" i="1"/>
  <c r="I3655" i="1"/>
  <c r="H3655" i="1"/>
  <c r="I3654" i="1"/>
  <c r="H3654" i="1"/>
  <c r="I3653" i="1"/>
  <c r="H3653" i="1"/>
  <c r="I3652" i="1"/>
  <c r="H3652" i="1"/>
  <c r="I3651" i="1"/>
  <c r="H3651" i="1"/>
  <c r="I3650" i="1"/>
  <c r="H3650" i="1"/>
  <c r="I3649" i="1"/>
  <c r="H3649" i="1"/>
  <c r="I3648" i="1"/>
  <c r="H3648" i="1"/>
  <c r="I3647" i="1"/>
  <c r="H3647" i="1"/>
  <c r="I3646" i="1"/>
  <c r="H3646" i="1"/>
  <c r="I3645" i="1"/>
  <c r="H3645" i="1"/>
  <c r="I3644" i="1"/>
  <c r="H3644" i="1"/>
  <c r="I3643" i="1"/>
  <c r="H3643" i="1"/>
  <c r="I3642" i="1"/>
  <c r="H3642" i="1"/>
  <c r="I3641" i="1"/>
  <c r="H3641" i="1"/>
  <c r="I3640" i="1"/>
  <c r="H3640" i="1"/>
  <c r="I3639" i="1"/>
  <c r="H3639" i="1"/>
  <c r="I3638" i="1"/>
  <c r="H3638" i="1"/>
  <c r="I3637" i="1"/>
  <c r="H3637" i="1"/>
  <c r="I3636" i="1"/>
  <c r="H3636" i="1"/>
  <c r="I3635" i="1"/>
  <c r="H3635" i="1"/>
  <c r="I3634" i="1"/>
  <c r="H3634" i="1"/>
  <c r="I3633" i="1"/>
  <c r="H3633" i="1"/>
  <c r="I3632" i="1"/>
  <c r="H3632" i="1"/>
  <c r="I3631" i="1"/>
  <c r="H3631" i="1"/>
  <c r="I3630" i="1"/>
  <c r="H3630" i="1"/>
  <c r="I3629" i="1"/>
  <c r="H3629" i="1"/>
  <c r="I3628" i="1"/>
  <c r="H3628" i="1"/>
  <c r="I3627" i="1"/>
  <c r="H3627" i="1"/>
  <c r="I3626" i="1"/>
  <c r="H3626" i="1"/>
  <c r="I3625" i="1"/>
  <c r="H3625" i="1"/>
  <c r="I3624" i="1"/>
  <c r="H3624" i="1"/>
  <c r="I3623" i="1"/>
  <c r="H3623" i="1"/>
  <c r="I3622" i="1"/>
  <c r="H3622" i="1"/>
  <c r="I3621" i="1"/>
  <c r="H3621" i="1"/>
  <c r="I3620" i="1"/>
  <c r="H3620" i="1"/>
  <c r="I3619" i="1"/>
  <c r="H3619" i="1"/>
  <c r="I3618" i="1"/>
  <c r="H3618" i="1"/>
  <c r="I3617" i="1"/>
  <c r="H3617" i="1"/>
  <c r="I3616" i="1"/>
  <c r="H3616" i="1"/>
  <c r="I3615" i="1"/>
  <c r="H3615" i="1"/>
  <c r="I3614" i="1"/>
  <c r="H3614" i="1"/>
  <c r="I3613" i="1"/>
  <c r="H3613" i="1"/>
  <c r="I3612" i="1"/>
  <c r="H3612" i="1"/>
  <c r="I3611" i="1"/>
  <c r="H3611" i="1"/>
  <c r="I3610" i="1"/>
  <c r="H3610" i="1"/>
  <c r="I3609" i="1"/>
  <c r="H3609" i="1"/>
  <c r="I3608" i="1"/>
  <c r="H3608" i="1"/>
  <c r="I3607" i="1"/>
  <c r="H3607" i="1"/>
  <c r="I3606" i="1"/>
  <c r="H3606" i="1"/>
  <c r="I3605" i="1"/>
  <c r="H3605" i="1"/>
  <c r="I3604" i="1"/>
  <c r="H3604" i="1"/>
  <c r="I3603" i="1"/>
  <c r="H3603" i="1"/>
  <c r="I3602" i="1"/>
  <c r="H3602" i="1"/>
  <c r="I3601" i="1"/>
  <c r="H3601" i="1"/>
  <c r="I3600" i="1"/>
  <c r="H3600" i="1"/>
  <c r="I3599" i="1"/>
  <c r="H3599" i="1"/>
  <c r="I3598" i="1"/>
  <c r="H3598" i="1"/>
  <c r="I3597" i="1"/>
  <c r="H3597" i="1"/>
  <c r="I3596" i="1"/>
  <c r="H3596" i="1"/>
  <c r="I3595" i="1"/>
  <c r="H3595" i="1"/>
  <c r="I3594" i="1"/>
  <c r="H3594" i="1"/>
  <c r="I3593" i="1"/>
  <c r="H3593" i="1"/>
  <c r="I3592" i="1"/>
  <c r="H3592" i="1"/>
  <c r="I3591" i="1"/>
  <c r="H3591" i="1"/>
  <c r="I3590" i="1"/>
  <c r="H3590" i="1"/>
  <c r="I3589" i="1"/>
  <c r="H3589" i="1"/>
  <c r="I3588" i="1"/>
  <c r="H3588" i="1"/>
  <c r="I3587" i="1"/>
  <c r="H3587" i="1"/>
  <c r="I3586" i="1"/>
  <c r="H3586" i="1"/>
  <c r="I3585" i="1"/>
  <c r="H3585" i="1"/>
  <c r="I3584" i="1"/>
  <c r="H3584" i="1"/>
  <c r="I3583" i="1"/>
  <c r="H3583" i="1"/>
  <c r="I3582" i="1"/>
  <c r="H3582" i="1"/>
  <c r="I3581" i="1"/>
  <c r="H3581" i="1"/>
  <c r="I3580" i="1"/>
  <c r="H3580" i="1"/>
  <c r="I3579" i="1"/>
  <c r="H3579" i="1"/>
  <c r="I3578" i="1"/>
  <c r="H3578" i="1"/>
  <c r="I3577" i="1"/>
  <c r="H3577" i="1"/>
  <c r="I3576" i="1"/>
  <c r="H3576" i="1"/>
  <c r="I3575" i="1"/>
  <c r="H3575" i="1"/>
  <c r="I3574" i="1"/>
  <c r="H3574" i="1"/>
  <c r="I3573" i="1"/>
  <c r="H3573" i="1"/>
  <c r="I3572" i="1"/>
  <c r="H3572" i="1"/>
  <c r="I3571" i="1"/>
  <c r="H3571" i="1"/>
  <c r="I3570" i="1"/>
  <c r="H3570" i="1"/>
  <c r="I3569" i="1"/>
  <c r="H3569" i="1"/>
  <c r="I3568" i="1"/>
  <c r="H3568" i="1"/>
  <c r="I3567" i="1"/>
  <c r="H3567" i="1"/>
  <c r="I3566" i="1"/>
  <c r="H3566" i="1"/>
  <c r="I3565" i="1"/>
  <c r="H3565" i="1"/>
  <c r="I3564" i="1"/>
  <c r="H3564" i="1"/>
  <c r="I3563" i="1"/>
  <c r="H3563" i="1"/>
  <c r="I3562" i="1"/>
  <c r="H3562" i="1"/>
  <c r="I3561" i="1"/>
  <c r="H3561" i="1"/>
  <c r="I3560" i="1"/>
  <c r="H3560" i="1"/>
  <c r="I3559" i="1"/>
  <c r="H3559" i="1"/>
  <c r="I3558" i="1"/>
  <c r="H3558" i="1"/>
  <c r="I3557" i="1"/>
  <c r="H3557" i="1"/>
  <c r="I3556" i="1"/>
  <c r="H3556" i="1"/>
  <c r="I3555" i="1"/>
  <c r="H3555" i="1"/>
  <c r="I3554" i="1"/>
  <c r="H3554" i="1"/>
  <c r="I3553" i="1"/>
  <c r="H3553" i="1"/>
  <c r="I3552" i="1"/>
  <c r="H3552" i="1"/>
  <c r="I3551" i="1"/>
  <c r="H3551" i="1"/>
  <c r="I3550" i="1"/>
  <c r="H3550" i="1"/>
  <c r="I3549" i="1"/>
  <c r="H3549" i="1"/>
  <c r="I3548" i="1"/>
  <c r="H3548" i="1"/>
  <c r="I3547" i="1"/>
  <c r="H3547" i="1"/>
  <c r="I3546" i="1"/>
  <c r="H3546" i="1"/>
  <c r="I3545" i="1"/>
  <c r="H3545" i="1"/>
  <c r="I3544" i="1"/>
  <c r="H3544" i="1"/>
  <c r="I3543" i="1"/>
  <c r="H3543" i="1"/>
  <c r="I3542" i="1"/>
  <c r="H3542" i="1"/>
  <c r="I3541" i="1"/>
  <c r="H3541" i="1"/>
  <c r="I3540" i="1"/>
  <c r="H3540" i="1"/>
  <c r="I3539" i="1"/>
  <c r="H3539" i="1"/>
  <c r="I3538" i="1"/>
  <c r="H3538" i="1"/>
  <c r="I3537" i="1"/>
  <c r="H3537" i="1"/>
  <c r="I3536" i="1"/>
  <c r="H3536" i="1"/>
  <c r="I3535" i="1"/>
  <c r="H3535" i="1"/>
  <c r="I3534" i="1"/>
  <c r="H3534" i="1"/>
  <c r="I3533" i="1"/>
  <c r="H3533" i="1"/>
  <c r="I3532" i="1"/>
  <c r="H3532" i="1"/>
  <c r="I3531" i="1"/>
  <c r="H3531" i="1"/>
  <c r="I3530" i="1"/>
  <c r="H3530" i="1"/>
  <c r="I3529" i="1"/>
  <c r="H3529" i="1"/>
  <c r="I3528" i="1"/>
  <c r="H3528" i="1"/>
  <c r="I3527" i="1"/>
  <c r="H3527" i="1"/>
  <c r="I3526" i="1"/>
  <c r="H3526" i="1"/>
  <c r="I3525" i="1"/>
  <c r="H3525" i="1"/>
  <c r="I3524" i="1"/>
  <c r="H3524" i="1"/>
  <c r="I3523" i="1"/>
  <c r="H3523" i="1"/>
  <c r="I3522" i="1"/>
  <c r="H3522" i="1"/>
  <c r="I3521" i="1"/>
  <c r="H3521" i="1"/>
  <c r="I3520" i="1"/>
  <c r="H3520" i="1"/>
  <c r="I3519" i="1"/>
  <c r="H3519" i="1"/>
  <c r="I3518" i="1"/>
  <c r="H3518" i="1"/>
  <c r="I3517" i="1"/>
  <c r="H3517" i="1"/>
  <c r="I3516" i="1"/>
  <c r="H3516" i="1"/>
  <c r="I3515" i="1"/>
  <c r="H3515" i="1"/>
  <c r="I3514" i="1"/>
  <c r="H3514" i="1"/>
  <c r="I3513" i="1"/>
  <c r="H3513" i="1"/>
  <c r="I3512" i="1"/>
  <c r="H3512" i="1"/>
  <c r="I3511" i="1"/>
  <c r="H3511" i="1"/>
  <c r="I3510" i="1"/>
  <c r="H3510" i="1"/>
  <c r="I3509" i="1"/>
  <c r="H3509" i="1"/>
  <c r="I3508" i="1"/>
  <c r="H3508" i="1"/>
  <c r="I3507" i="1"/>
  <c r="H3507" i="1"/>
  <c r="I3506" i="1"/>
  <c r="H3506" i="1"/>
  <c r="I3505" i="1"/>
  <c r="H3505" i="1"/>
  <c r="I3504" i="1"/>
  <c r="H3504" i="1"/>
  <c r="I3503" i="1"/>
  <c r="H3503" i="1"/>
  <c r="I3502" i="1"/>
  <c r="H3502" i="1"/>
  <c r="I3501" i="1"/>
  <c r="H3501" i="1"/>
  <c r="I3500" i="1"/>
  <c r="H3500" i="1"/>
  <c r="I3499" i="1"/>
  <c r="H3499" i="1"/>
  <c r="I3498" i="1"/>
  <c r="H3498" i="1"/>
  <c r="I3497" i="1"/>
  <c r="H3497" i="1"/>
  <c r="I3496" i="1"/>
  <c r="H3496" i="1"/>
  <c r="I3495" i="1"/>
  <c r="H3495" i="1"/>
  <c r="I3494" i="1"/>
  <c r="H3494" i="1"/>
  <c r="I3493" i="1"/>
  <c r="H3493" i="1"/>
  <c r="I3492" i="1"/>
  <c r="H3492" i="1"/>
  <c r="I3491" i="1"/>
  <c r="H3491" i="1"/>
  <c r="I3490" i="1"/>
  <c r="H3490" i="1"/>
  <c r="I3489" i="1"/>
  <c r="H3489" i="1"/>
  <c r="I3488" i="1"/>
  <c r="H3488" i="1"/>
  <c r="I3487" i="1"/>
  <c r="H3487" i="1"/>
  <c r="I3486" i="1"/>
  <c r="H3486" i="1"/>
  <c r="I3485" i="1"/>
  <c r="H3485" i="1"/>
  <c r="I3484" i="1"/>
  <c r="H3484" i="1"/>
  <c r="I3483" i="1"/>
  <c r="H3483" i="1"/>
  <c r="I3482" i="1"/>
  <c r="H3482" i="1"/>
  <c r="I3481" i="1"/>
  <c r="H3481" i="1"/>
  <c r="I3480" i="1"/>
  <c r="H3480" i="1"/>
  <c r="I3479" i="1"/>
  <c r="H3479" i="1"/>
  <c r="I3478" i="1"/>
  <c r="H3478" i="1"/>
  <c r="I3477" i="1"/>
  <c r="H3477" i="1"/>
  <c r="I3476" i="1"/>
  <c r="H3476" i="1"/>
  <c r="I3475" i="1"/>
  <c r="H3475" i="1"/>
  <c r="I3474" i="1"/>
  <c r="H3474" i="1"/>
  <c r="I3473" i="1"/>
  <c r="H3473" i="1"/>
  <c r="I3472" i="1"/>
  <c r="H3472" i="1"/>
  <c r="I3471" i="1"/>
  <c r="H3471" i="1"/>
  <c r="I3470" i="1"/>
  <c r="H3470" i="1"/>
  <c r="I3469" i="1"/>
  <c r="H3469" i="1"/>
  <c r="I3468" i="1"/>
  <c r="H3468" i="1"/>
  <c r="I3467" i="1"/>
  <c r="H3467" i="1"/>
  <c r="I3466" i="1"/>
  <c r="H3466" i="1"/>
  <c r="I3465" i="1"/>
  <c r="H3465" i="1"/>
  <c r="I3464" i="1"/>
  <c r="H3464" i="1"/>
  <c r="I3463" i="1"/>
  <c r="H3463" i="1"/>
  <c r="I3462" i="1"/>
  <c r="H3462" i="1"/>
  <c r="I3461" i="1"/>
  <c r="H3461" i="1"/>
  <c r="I3460" i="1"/>
  <c r="H3460" i="1"/>
  <c r="I3459" i="1"/>
  <c r="H3459" i="1"/>
  <c r="I3458" i="1"/>
  <c r="H3458" i="1"/>
  <c r="I3457" i="1"/>
  <c r="H3457" i="1"/>
  <c r="I3456" i="1"/>
  <c r="H3456" i="1"/>
  <c r="I3455" i="1"/>
  <c r="H3455" i="1"/>
  <c r="I3454" i="1"/>
  <c r="H3454" i="1"/>
  <c r="I3453" i="1"/>
  <c r="H3453" i="1"/>
  <c r="I3452" i="1"/>
  <c r="H3452" i="1"/>
  <c r="I3451" i="1"/>
  <c r="H3451" i="1"/>
  <c r="I3450" i="1"/>
  <c r="H3450" i="1"/>
  <c r="I3449" i="1"/>
  <c r="H3449" i="1"/>
  <c r="I3448" i="1"/>
  <c r="H3448" i="1"/>
  <c r="I3447" i="1"/>
  <c r="H3447" i="1"/>
  <c r="I3446" i="1"/>
  <c r="H3446" i="1"/>
  <c r="I3445" i="1"/>
  <c r="H3445" i="1"/>
  <c r="I3444" i="1"/>
  <c r="H3444" i="1"/>
  <c r="I3443" i="1"/>
  <c r="H3443" i="1"/>
  <c r="I3442" i="1"/>
  <c r="H3442" i="1"/>
  <c r="I3441" i="1"/>
  <c r="H3441" i="1"/>
  <c r="I3440" i="1"/>
  <c r="H3440" i="1"/>
  <c r="I3439" i="1"/>
  <c r="H3439" i="1"/>
  <c r="I3438" i="1"/>
  <c r="H3438" i="1"/>
  <c r="I3437" i="1"/>
  <c r="H3437" i="1"/>
  <c r="I3436" i="1"/>
  <c r="H3436" i="1"/>
  <c r="I3435" i="1"/>
  <c r="H3435" i="1"/>
  <c r="I3434" i="1"/>
  <c r="H3434" i="1"/>
  <c r="I3433" i="1"/>
  <c r="H3433" i="1"/>
  <c r="I3432" i="1"/>
  <c r="H3432" i="1"/>
  <c r="I3431" i="1"/>
  <c r="H3431" i="1"/>
  <c r="I3430" i="1"/>
  <c r="H3430" i="1"/>
  <c r="I3429" i="1"/>
  <c r="H3429" i="1"/>
  <c r="I3428" i="1"/>
  <c r="H3428" i="1"/>
  <c r="I3427" i="1"/>
  <c r="H3427" i="1"/>
  <c r="I3426" i="1"/>
  <c r="H3426" i="1"/>
  <c r="I3425" i="1"/>
  <c r="H3425" i="1"/>
  <c r="I3424" i="1"/>
  <c r="H3424" i="1"/>
  <c r="I3423" i="1"/>
  <c r="H3423" i="1"/>
  <c r="I3422" i="1"/>
  <c r="H3422" i="1"/>
  <c r="I3421" i="1"/>
  <c r="H3421" i="1"/>
  <c r="I3420" i="1"/>
  <c r="H3420" i="1"/>
  <c r="I3419" i="1"/>
  <c r="H3419" i="1"/>
  <c r="I3418" i="1"/>
  <c r="H3418" i="1"/>
  <c r="I3417" i="1"/>
  <c r="H3417" i="1"/>
  <c r="I3416" i="1"/>
  <c r="H3416" i="1"/>
  <c r="I3415" i="1"/>
  <c r="H3415" i="1"/>
  <c r="I3414" i="1"/>
  <c r="H3414" i="1"/>
  <c r="I3413" i="1"/>
  <c r="H3413" i="1"/>
  <c r="I3412" i="1"/>
  <c r="H3412" i="1"/>
  <c r="I3411" i="1"/>
  <c r="H3411" i="1"/>
  <c r="I3410" i="1"/>
  <c r="H3410" i="1"/>
  <c r="I3409" i="1"/>
  <c r="H3409" i="1"/>
  <c r="I3408" i="1"/>
  <c r="H3408" i="1"/>
  <c r="I3407" i="1"/>
  <c r="H3407" i="1"/>
  <c r="I3406" i="1"/>
  <c r="H3406" i="1"/>
  <c r="I3405" i="1"/>
  <c r="H3405" i="1"/>
  <c r="I3404" i="1"/>
  <c r="H3404" i="1"/>
  <c r="I3403" i="1"/>
  <c r="H3403" i="1"/>
  <c r="I3402" i="1"/>
  <c r="H3402" i="1"/>
  <c r="I3401" i="1"/>
  <c r="H3401" i="1"/>
  <c r="I3400" i="1"/>
  <c r="H3400" i="1"/>
  <c r="I3399" i="1"/>
  <c r="H3399" i="1"/>
  <c r="I3398" i="1"/>
  <c r="H3398" i="1"/>
  <c r="I3397" i="1"/>
  <c r="H3397" i="1"/>
  <c r="I3396" i="1"/>
  <c r="H3396" i="1"/>
  <c r="I3395" i="1"/>
  <c r="H3395" i="1"/>
  <c r="I3394" i="1"/>
  <c r="H3394" i="1"/>
  <c r="I3393" i="1"/>
  <c r="H3393" i="1"/>
  <c r="I3392" i="1"/>
  <c r="H3392" i="1"/>
  <c r="I3391" i="1"/>
  <c r="H3391" i="1"/>
  <c r="I3390" i="1"/>
  <c r="H3390" i="1"/>
  <c r="I3389" i="1"/>
  <c r="H3389" i="1"/>
  <c r="I3388" i="1"/>
  <c r="H3388" i="1"/>
  <c r="I3387" i="1"/>
  <c r="H3387" i="1"/>
  <c r="I3386" i="1"/>
  <c r="H3386" i="1"/>
  <c r="I3385" i="1"/>
  <c r="H3385" i="1"/>
  <c r="I3384" i="1"/>
  <c r="H3384" i="1"/>
  <c r="I3383" i="1"/>
  <c r="H3383" i="1"/>
  <c r="I3382" i="1"/>
  <c r="H3382" i="1"/>
  <c r="I3381" i="1"/>
  <c r="H3381" i="1"/>
  <c r="I3380" i="1"/>
  <c r="H3380" i="1"/>
  <c r="I3379" i="1"/>
  <c r="H3379" i="1"/>
  <c r="I3378" i="1"/>
  <c r="H3378" i="1"/>
  <c r="I3377" i="1"/>
  <c r="H3377" i="1"/>
  <c r="I3376" i="1"/>
  <c r="H3376" i="1"/>
  <c r="I3375" i="1"/>
  <c r="H3375" i="1"/>
  <c r="I3374" i="1"/>
  <c r="H3374" i="1"/>
  <c r="I3373" i="1"/>
  <c r="H3373" i="1"/>
  <c r="I3372" i="1"/>
  <c r="H3372" i="1"/>
  <c r="I3371" i="1"/>
  <c r="H3371" i="1"/>
  <c r="I3370" i="1"/>
  <c r="H3370" i="1"/>
  <c r="I3369" i="1"/>
  <c r="H3369" i="1"/>
  <c r="I3368" i="1"/>
  <c r="H3368" i="1"/>
  <c r="I3367" i="1"/>
  <c r="H3367" i="1"/>
  <c r="I3366" i="1"/>
  <c r="H3366" i="1"/>
  <c r="I3365" i="1"/>
  <c r="H3365" i="1"/>
  <c r="I3364" i="1"/>
  <c r="H3364" i="1"/>
  <c r="I3363" i="1"/>
  <c r="H3363" i="1"/>
  <c r="I3362" i="1"/>
  <c r="H3362" i="1"/>
  <c r="I3361" i="1"/>
  <c r="H3361" i="1"/>
  <c r="I3360" i="1"/>
  <c r="H3360" i="1"/>
  <c r="I3359" i="1"/>
  <c r="H3359" i="1"/>
  <c r="I3358" i="1"/>
  <c r="H3358" i="1"/>
  <c r="I3357" i="1"/>
  <c r="H3357" i="1"/>
  <c r="I3356" i="1"/>
  <c r="H3356" i="1"/>
  <c r="I3355" i="1"/>
  <c r="H3355" i="1"/>
  <c r="I3354" i="1"/>
  <c r="H3354" i="1"/>
  <c r="I3353" i="1"/>
  <c r="H3353" i="1"/>
  <c r="I3352" i="1"/>
  <c r="H3352" i="1"/>
  <c r="I3351" i="1"/>
  <c r="H3351" i="1"/>
  <c r="I3350" i="1"/>
  <c r="H3350" i="1"/>
  <c r="I3349" i="1"/>
  <c r="H3349" i="1"/>
  <c r="I3348" i="1"/>
  <c r="H3348" i="1"/>
  <c r="I3347" i="1"/>
  <c r="H3347" i="1"/>
  <c r="I3346" i="1"/>
  <c r="H3346" i="1"/>
  <c r="I3345" i="1"/>
  <c r="H3345" i="1"/>
  <c r="I3344" i="1"/>
  <c r="H3344" i="1"/>
  <c r="I3343" i="1"/>
  <c r="H3343" i="1"/>
  <c r="I3342" i="1"/>
  <c r="H3342" i="1"/>
  <c r="I3341" i="1"/>
  <c r="H3341" i="1"/>
  <c r="I3340" i="1"/>
  <c r="H3340" i="1"/>
  <c r="I3339" i="1"/>
  <c r="H3339" i="1"/>
  <c r="I3338" i="1"/>
  <c r="H3338" i="1"/>
  <c r="I3337" i="1"/>
  <c r="H3337" i="1"/>
  <c r="I3336" i="1"/>
  <c r="H3336" i="1"/>
  <c r="I3335" i="1"/>
  <c r="H3335" i="1"/>
  <c r="I3334" i="1"/>
  <c r="H3334" i="1"/>
  <c r="I3333" i="1"/>
  <c r="H3333" i="1"/>
  <c r="I3332" i="1"/>
  <c r="H3332" i="1"/>
  <c r="I3331" i="1"/>
  <c r="H3331" i="1"/>
  <c r="I3330" i="1"/>
  <c r="H3330" i="1"/>
  <c r="I3329" i="1"/>
  <c r="H3329" i="1"/>
  <c r="I3328" i="1"/>
  <c r="H3328" i="1"/>
  <c r="I3327" i="1"/>
  <c r="H3327" i="1"/>
  <c r="I3326" i="1"/>
  <c r="H3326" i="1"/>
  <c r="I3325" i="1"/>
  <c r="H3325" i="1"/>
  <c r="I3324" i="1"/>
  <c r="H3324" i="1"/>
  <c r="I3323" i="1"/>
  <c r="H3323" i="1"/>
  <c r="I3322" i="1"/>
  <c r="H3322" i="1"/>
  <c r="I3321" i="1"/>
  <c r="H3321" i="1"/>
  <c r="I3320" i="1"/>
  <c r="H3320" i="1"/>
  <c r="I3319" i="1"/>
  <c r="H3319" i="1"/>
  <c r="I3318" i="1"/>
  <c r="H3318" i="1"/>
  <c r="I3317" i="1"/>
  <c r="H3317" i="1"/>
  <c r="I3316" i="1"/>
  <c r="H3316" i="1"/>
  <c r="I3315" i="1"/>
  <c r="H3315" i="1"/>
  <c r="I3314" i="1"/>
  <c r="H3314" i="1"/>
  <c r="I3313" i="1"/>
  <c r="H3313" i="1"/>
  <c r="I3312" i="1"/>
  <c r="H3312" i="1"/>
  <c r="I3311" i="1"/>
  <c r="H3311" i="1"/>
  <c r="I3310" i="1"/>
  <c r="H3310" i="1"/>
  <c r="I3309" i="1"/>
  <c r="H3309" i="1"/>
  <c r="I3308" i="1"/>
  <c r="H3308" i="1"/>
  <c r="I3307" i="1"/>
  <c r="H3307" i="1"/>
  <c r="I3306" i="1"/>
  <c r="H3306" i="1"/>
  <c r="I3305" i="1"/>
  <c r="H3305" i="1"/>
  <c r="I3304" i="1"/>
  <c r="H3304" i="1"/>
  <c r="I3303" i="1"/>
  <c r="H3303" i="1"/>
  <c r="I3302" i="1"/>
  <c r="H3302" i="1"/>
  <c r="I3301" i="1"/>
  <c r="H3301" i="1"/>
  <c r="I3300" i="1"/>
  <c r="H3300" i="1"/>
  <c r="I3299" i="1"/>
  <c r="H3299" i="1"/>
  <c r="I3298" i="1"/>
  <c r="H3298" i="1"/>
  <c r="I3297" i="1"/>
  <c r="H3297" i="1"/>
  <c r="I3296" i="1"/>
  <c r="H3296" i="1"/>
  <c r="I3295" i="1"/>
  <c r="H3295" i="1"/>
  <c r="I3294" i="1"/>
  <c r="H3294" i="1"/>
  <c r="I3293" i="1"/>
  <c r="H3293" i="1"/>
  <c r="I3292" i="1"/>
  <c r="H3292" i="1"/>
  <c r="I3291" i="1"/>
  <c r="H3291" i="1"/>
  <c r="I3290" i="1"/>
  <c r="H3290" i="1"/>
  <c r="I3289" i="1"/>
  <c r="H3289" i="1"/>
  <c r="I3288" i="1"/>
  <c r="H3288" i="1"/>
  <c r="I3287" i="1"/>
  <c r="H3287" i="1"/>
  <c r="I3286" i="1"/>
  <c r="H3286" i="1"/>
  <c r="I3285" i="1"/>
  <c r="H3285" i="1"/>
  <c r="I3284" i="1"/>
  <c r="H3284" i="1"/>
  <c r="I3283" i="1"/>
  <c r="H3283" i="1"/>
  <c r="I3282" i="1"/>
  <c r="H3282" i="1"/>
  <c r="I3281" i="1"/>
  <c r="H3281" i="1"/>
  <c r="I3280" i="1"/>
  <c r="H3280" i="1"/>
  <c r="I3279" i="1"/>
  <c r="H3279" i="1"/>
  <c r="I3278" i="1"/>
  <c r="H3278" i="1"/>
  <c r="I3277" i="1"/>
  <c r="H3277" i="1"/>
  <c r="I3276" i="1"/>
  <c r="H3276" i="1"/>
  <c r="I3275" i="1"/>
  <c r="H3275" i="1"/>
  <c r="I3274" i="1"/>
  <c r="H3274" i="1"/>
  <c r="I3273" i="1"/>
  <c r="H3273" i="1"/>
  <c r="I3272" i="1"/>
  <c r="H3272" i="1"/>
  <c r="I3271" i="1"/>
  <c r="H3271" i="1"/>
  <c r="I3270" i="1"/>
  <c r="H3270" i="1"/>
  <c r="I3269" i="1"/>
  <c r="H3269" i="1"/>
  <c r="I3268" i="1"/>
  <c r="H3268" i="1"/>
  <c r="I3267" i="1"/>
  <c r="H3267" i="1"/>
  <c r="I3266" i="1"/>
  <c r="H3266" i="1"/>
  <c r="I3265" i="1"/>
  <c r="H3265" i="1"/>
  <c r="I3264" i="1"/>
  <c r="H3264" i="1"/>
  <c r="I3263" i="1"/>
  <c r="H3263" i="1"/>
  <c r="I3262" i="1"/>
  <c r="H3262" i="1"/>
  <c r="I3261" i="1"/>
  <c r="H3261" i="1"/>
  <c r="I3260" i="1"/>
  <c r="H3260" i="1"/>
  <c r="I3259" i="1"/>
  <c r="H3259" i="1"/>
  <c r="I3258" i="1"/>
  <c r="H3258" i="1"/>
  <c r="I3257" i="1"/>
  <c r="H3257" i="1"/>
  <c r="I3256" i="1"/>
  <c r="H3256" i="1"/>
  <c r="I3255" i="1"/>
  <c r="H3255" i="1"/>
  <c r="I3254" i="1"/>
  <c r="H3254" i="1"/>
  <c r="I3253" i="1"/>
  <c r="H3253" i="1"/>
  <c r="I3252" i="1"/>
  <c r="H3252" i="1"/>
  <c r="I3251" i="1"/>
  <c r="H3251" i="1"/>
  <c r="I3250" i="1"/>
  <c r="H3250" i="1"/>
  <c r="I3249" i="1"/>
  <c r="H3249" i="1"/>
  <c r="I3248" i="1"/>
  <c r="H3248" i="1"/>
  <c r="I3247" i="1"/>
  <c r="H3247" i="1"/>
  <c r="I3246" i="1"/>
  <c r="H3246" i="1"/>
  <c r="I3245" i="1"/>
  <c r="H3245" i="1"/>
  <c r="I3244" i="1"/>
  <c r="H3244" i="1"/>
  <c r="I3243" i="1"/>
  <c r="H3243" i="1"/>
  <c r="I3242" i="1"/>
  <c r="H3242" i="1"/>
  <c r="I3241" i="1"/>
  <c r="H3241" i="1"/>
  <c r="I3240" i="1"/>
  <c r="H3240" i="1"/>
  <c r="I3239" i="1"/>
  <c r="H3239" i="1"/>
  <c r="I3238" i="1"/>
  <c r="H3238" i="1"/>
  <c r="I3237" i="1"/>
  <c r="H3237" i="1"/>
  <c r="I3236" i="1"/>
  <c r="H3236" i="1"/>
  <c r="I3235" i="1"/>
  <c r="H3235" i="1"/>
  <c r="I3234" i="1"/>
  <c r="H3234" i="1"/>
  <c r="I3233" i="1"/>
  <c r="H3233" i="1"/>
  <c r="I3232" i="1"/>
  <c r="H3232" i="1"/>
  <c r="I3231" i="1"/>
  <c r="H3231" i="1"/>
  <c r="I3230" i="1"/>
  <c r="H3230" i="1"/>
  <c r="I3229" i="1"/>
  <c r="H3229" i="1"/>
  <c r="I3228" i="1"/>
  <c r="H3228" i="1"/>
  <c r="I3227" i="1"/>
  <c r="H3227" i="1"/>
  <c r="I3226" i="1"/>
  <c r="H3226" i="1"/>
  <c r="I3225" i="1"/>
  <c r="H3225" i="1"/>
  <c r="I3224" i="1"/>
  <c r="H3224" i="1"/>
  <c r="I3223" i="1"/>
  <c r="H3223" i="1"/>
  <c r="I3222" i="1"/>
  <c r="H3222" i="1"/>
  <c r="I3221" i="1"/>
  <c r="H3221" i="1"/>
  <c r="I3220" i="1"/>
  <c r="H3220" i="1"/>
  <c r="I3219" i="1"/>
  <c r="H3219" i="1"/>
  <c r="I3218" i="1"/>
  <c r="H3218" i="1"/>
  <c r="I3217" i="1"/>
  <c r="H3217" i="1"/>
  <c r="I3216" i="1"/>
  <c r="H3216" i="1"/>
  <c r="I3215" i="1"/>
  <c r="H3215" i="1"/>
  <c r="I3214" i="1"/>
  <c r="H3214" i="1"/>
  <c r="I3213" i="1"/>
  <c r="H3213" i="1"/>
  <c r="I3212" i="1"/>
  <c r="H3212" i="1"/>
  <c r="I3211" i="1"/>
  <c r="H3211" i="1"/>
  <c r="I3210" i="1"/>
  <c r="H3210" i="1"/>
  <c r="I3209" i="1"/>
  <c r="H3209" i="1"/>
  <c r="I3208" i="1"/>
  <c r="H3208" i="1"/>
  <c r="I3207" i="1"/>
  <c r="H3207" i="1"/>
  <c r="I3206" i="1"/>
  <c r="H3206" i="1"/>
  <c r="I3205" i="1"/>
  <c r="H3205" i="1"/>
  <c r="I3204" i="1"/>
  <c r="H3204" i="1"/>
  <c r="I3203" i="1"/>
  <c r="H3203" i="1"/>
  <c r="I3202" i="1"/>
  <c r="H3202" i="1"/>
  <c r="I3201" i="1"/>
  <c r="H3201" i="1"/>
  <c r="I3200" i="1"/>
  <c r="H3200" i="1"/>
  <c r="I3199" i="1"/>
  <c r="H3199" i="1"/>
  <c r="I3198" i="1"/>
  <c r="H3198" i="1"/>
  <c r="I3197" i="1"/>
  <c r="H3197" i="1"/>
  <c r="I3196" i="1"/>
  <c r="H3196" i="1"/>
  <c r="I3195" i="1"/>
  <c r="H3195" i="1"/>
  <c r="I3194" i="1"/>
  <c r="H3194" i="1"/>
  <c r="I3193" i="1"/>
  <c r="H3193" i="1"/>
  <c r="I3192" i="1"/>
  <c r="H3192" i="1"/>
  <c r="I3191" i="1"/>
  <c r="H3191" i="1"/>
  <c r="I3190" i="1"/>
  <c r="H3190" i="1"/>
  <c r="I3189" i="1"/>
  <c r="H3189" i="1"/>
  <c r="I3188" i="1"/>
  <c r="H3188" i="1"/>
  <c r="I3187" i="1"/>
  <c r="H3187" i="1"/>
  <c r="I3186" i="1"/>
  <c r="H3186" i="1"/>
  <c r="I3185" i="1"/>
  <c r="H3185" i="1"/>
  <c r="I3184" i="1"/>
  <c r="H3184" i="1"/>
  <c r="I3183" i="1"/>
  <c r="H3183" i="1"/>
  <c r="I3182" i="1"/>
  <c r="H3182" i="1"/>
  <c r="I3181" i="1"/>
  <c r="H3181" i="1"/>
  <c r="I3180" i="1"/>
  <c r="H3180" i="1"/>
  <c r="I3179" i="1"/>
  <c r="H3179" i="1"/>
  <c r="I3178" i="1"/>
  <c r="H3178" i="1"/>
  <c r="I3177" i="1"/>
  <c r="H3177" i="1"/>
  <c r="I3176" i="1"/>
  <c r="H3176" i="1"/>
  <c r="I3175" i="1"/>
  <c r="H3175" i="1"/>
  <c r="I3174" i="1"/>
  <c r="H3174" i="1"/>
  <c r="I3173" i="1"/>
  <c r="H3173" i="1"/>
  <c r="I3172" i="1"/>
  <c r="H3172" i="1"/>
  <c r="I3171" i="1"/>
  <c r="H3171" i="1"/>
  <c r="I3170" i="1"/>
  <c r="H3170" i="1"/>
  <c r="I3169" i="1"/>
  <c r="H3169" i="1"/>
  <c r="I3168" i="1"/>
  <c r="H3168" i="1"/>
  <c r="I3167" i="1"/>
  <c r="H3167" i="1"/>
  <c r="I3166" i="1"/>
  <c r="H3166" i="1"/>
  <c r="I3165" i="1"/>
  <c r="H3165" i="1"/>
  <c r="I3164" i="1"/>
  <c r="H3164" i="1"/>
  <c r="I3163" i="1"/>
  <c r="H3163" i="1"/>
  <c r="I3162" i="1"/>
  <c r="H3162" i="1"/>
  <c r="I3161" i="1"/>
  <c r="H3161" i="1"/>
  <c r="I3160" i="1"/>
  <c r="H3160" i="1"/>
  <c r="I3159" i="1"/>
  <c r="H3159" i="1"/>
  <c r="I3158" i="1"/>
  <c r="H3158" i="1"/>
  <c r="I3157" i="1"/>
  <c r="H3157" i="1"/>
  <c r="I3156" i="1"/>
  <c r="H3156" i="1"/>
  <c r="I3155" i="1"/>
  <c r="H3155" i="1"/>
  <c r="I3154" i="1"/>
  <c r="H3154" i="1"/>
  <c r="I3153" i="1"/>
  <c r="H3153" i="1"/>
  <c r="I3152" i="1"/>
  <c r="H3152" i="1"/>
  <c r="I3151" i="1"/>
  <c r="H3151" i="1"/>
  <c r="I3150" i="1"/>
  <c r="H3150" i="1"/>
  <c r="I3149" i="1"/>
  <c r="H3149" i="1"/>
  <c r="I3148" i="1"/>
  <c r="H3148" i="1"/>
  <c r="I3147" i="1"/>
  <c r="H3147" i="1"/>
  <c r="I3146" i="1"/>
  <c r="H3146" i="1"/>
  <c r="I3145" i="1"/>
  <c r="H3145" i="1"/>
  <c r="I3144" i="1"/>
  <c r="H3144" i="1"/>
  <c r="I3143" i="1"/>
  <c r="H3143" i="1"/>
  <c r="I3142" i="1"/>
  <c r="H3142" i="1"/>
  <c r="I3141" i="1"/>
  <c r="H3141" i="1"/>
  <c r="I3140" i="1"/>
  <c r="H3140" i="1"/>
  <c r="I3139" i="1"/>
  <c r="H3139" i="1"/>
  <c r="I3138" i="1"/>
  <c r="H3138" i="1"/>
  <c r="I3137" i="1"/>
  <c r="H3137" i="1"/>
  <c r="I3136" i="1"/>
  <c r="H3136" i="1"/>
  <c r="I3135" i="1"/>
  <c r="H3135" i="1"/>
  <c r="I3134" i="1"/>
  <c r="H3134" i="1"/>
  <c r="I3133" i="1"/>
  <c r="H3133" i="1"/>
  <c r="I3132" i="1"/>
  <c r="H3132" i="1"/>
  <c r="I3131" i="1"/>
  <c r="H3131" i="1"/>
  <c r="I3130" i="1"/>
  <c r="H3130" i="1"/>
  <c r="I3129" i="1"/>
  <c r="H3129" i="1"/>
  <c r="I3128" i="1"/>
  <c r="H3128" i="1"/>
  <c r="I3127" i="1"/>
  <c r="H3127" i="1"/>
  <c r="I3126" i="1"/>
  <c r="H3126" i="1"/>
  <c r="I3125" i="1"/>
  <c r="H3125" i="1"/>
  <c r="I3124" i="1"/>
  <c r="H3124" i="1"/>
  <c r="I3123" i="1"/>
  <c r="H3123" i="1"/>
  <c r="I3122" i="1"/>
  <c r="H3122" i="1"/>
  <c r="I3121" i="1"/>
  <c r="H3121" i="1"/>
  <c r="I3120" i="1"/>
  <c r="H3120" i="1"/>
  <c r="I3119" i="1"/>
  <c r="H3119" i="1"/>
  <c r="I3118" i="1"/>
  <c r="H3118" i="1"/>
  <c r="I3117" i="1"/>
  <c r="H3117" i="1"/>
  <c r="I3116" i="1"/>
  <c r="H3116" i="1"/>
  <c r="I3115" i="1"/>
  <c r="H3115" i="1"/>
  <c r="I3114" i="1"/>
  <c r="H3114" i="1"/>
  <c r="I3113" i="1"/>
  <c r="H3113" i="1"/>
  <c r="I3112" i="1"/>
  <c r="H3112" i="1"/>
  <c r="I3111" i="1"/>
  <c r="H3111" i="1"/>
  <c r="I3110" i="1"/>
  <c r="H3110" i="1"/>
  <c r="I3109" i="1"/>
  <c r="H3109" i="1"/>
  <c r="I3108" i="1"/>
  <c r="H3108" i="1"/>
  <c r="I3107" i="1"/>
  <c r="H3107" i="1"/>
  <c r="I3106" i="1"/>
  <c r="H3106" i="1"/>
  <c r="I3105" i="1"/>
  <c r="H3105" i="1"/>
  <c r="I3104" i="1"/>
  <c r="H3104" i="1"/>
  <c r="I3103" i="1"/>
  <c r="H3103" i="1"/>
  <c r="I3102" i="1"/>
  <c r="H3102" i="1"/>
  <c r="I3101" i="1"/>
  <c r="H3101" i="1"/>
  <c r="I3100" i="1"/>
  <c r="H3100" i="1"/>
  <c r="I3099" i="1"/>
  <c r="H3099" i="1"/>
  <c r="I3098" i="1"/>
  <c r="H3098" i="1"/>
  <c r="I3097" i="1"/>
  <c r="H3097" i="1"/>
  <c r="I3096" i="1"/>
  <c r="H3096" i="1"/>
  <c r="I3095" i="1"/>
  <c r="H3095" i="1"/>
  <c r="I3094" i="1"/>
  <c r="H3094" i="1"/>
  <c r="I3093" i="1"/>
  <c r="H3093" i="1"/>
  <c r="I3092" i="1"/>
  <c r="H3092" i="1"/>
  <c r="I3091" i="1"/>
  <c r="H3091" i="1"/>
  <c r="I3090" i="1"/>
  <c r="H3090" i="1"/>
  <c r="I3089" i="1"/>
  <c r="H3089" i="1"/>
  <c r="I3088" i="1"/>
  <c r="H3088" i="1"/>
  <c r="I3087" i="1"/>
  <c r="H3087" i="1"/>
  <c r="I3086" i="1"/>
  <c r="H3086" i="1"/>
  <c r="I3085" i="1"/>
  <c r="H3085" i="1"/>
  <c r="I3084" i="1"/>
  <c r="H3084" i="1"/>
  <c r="I3083" i="1"/>
  <c r="H3083" i="1"/>
  <c r="I3082" i="1"/>
  <c r="H3082" i="1"/>
  <c r="I3081" i="1"/>
  <c r="H3081" i="1"/>
  <c r="I3080" i="1"/>
  <c r="H3080" i="1"/>
  <c r="I3079" i="1"/>
  <c r="H3079" i="1"/>
  <c r="I3078" i="1"/>
  <c r="H3078" i="1"/>
  <c r="I3077" i="1"/>
  <c r="H3077" i="1"/>
  <c r="I3076" i="1"/>
  <c r="H3076" i="1"/>
  <c r="I3075" i="1"/>
  <c r="H3075" i="1"/>
  <c r="I3074" i="1"/>
  <c r="H3074" i="1"/>
  <c r="I3073" i="1"/>
  <c r="H3073" i="1"/>
  <c r="I3072" i="1"/>
  <c r="H3072" i="1"/>
  <c r="I3071" i="1"/>
  <c r="H3071" i="1"/>
  <c r="I3070" i="1"/>
  <c r="H3070" i="1"/>
  <c r="I3069" i="1"/>
  <c r="H3069" i="1"/>
  <c r="I3068" i="1"/>
  <c r="H3068" i="1"/>
  <c r="I3067" i="1"/>
  <c r="H3067" i="1"/>
  <c r="I3066" i="1"/>
  <c r="H3066" i="1"/>
  <c r="I3065" i="1"/>
  <c r="H3065" i="1"/>
  <c r="I3064" i="1"/>
  <c r="H3064" i="1"/>
  <c r="I3063" i="1"/>
  <c r="H3063" i="1"/>
  <c r="I3062" i="1"/>
  <c r="H3062" i="1"/>
  <c r="I3061" i="1"/>
  <c r="H3061" i="1"/>
  <c r="I3060" i="1"/>
  <c r="H3060" i="1"/>
  <c r="I3059" i="1"/>
  <c r="H3059" i="1"/>
  <c r="I3058" i="1"/>
  <c r="H3058" i="1"/>
  <c r="I3057" i="1"/>
  <c r="H3057" i="1"/>
  <c r="I3056" i="1"/>
  <c r="H3056" i="1"/>
  <c r="I3055" i="1"/>
  <c r="H3055" i="1"/>
  <c r="I3054" i="1"/>
  <c r="H3054" i="1"/>
  <c r="I3053" i="1"/>
  <c r="H3053" i="1"/>
  <c r="I3052" i="1"/>
  <c r="H3052" i="1"/>
  <c r="I3051" i="1"/>
  <c r="H3051" i="1"/>
  <c r="I3050" i="1"/>
  <c r="H3050" i="1"/>
  <c r="I3049" i="1"/>
  <c r="H3049" i="1"/>
  <c r="I3048" i="1"/>
  <c r="H3048" i="1"/>
  <c r="I3047" i="1"/>
  <c r="H3047" i="1"/>
  <c r="I3046" i="1"/>
  <c r="H3046" i="1"/>
  <c r="I3045" i="1"/>
  <c r="H3045" i="1"/>
  <c r="I3044" i="1"/>
  <c r="H3044" i="1"/>
  <c r="I3043" i="1"/>
  <c r="H3043" i="1"/>
  <c r="I3042" i="1"/>
  <c r="H3042" i="1"/>
  <c r="I3041" i="1"/>
  <c r="H3041" i="1"/>
  <c r="I3040" i="1"/>
  <c r="H3040" i="1"/>
  <c r="I3039" i="1"/>
  <c r="H3039" i="1"/>
  <c r="I3038" i="1"/>
  <c r="H3038" i="1"/>
  <c r="I3037" i="1"/>
  <c r="H3037" i="1"/>
  <c r="I3036" i="1"/>
  <c r="H3036" i="1"/>
  <c r="I3035" i="1"/>
  <c r="H3035" i="1"/>
  <c r="I3034" i="1"/>
  <c r="H3034" i="1"/>
  <c r="I3033" i="1"/>
  <c r="H3033" i="1"/>
  <c r="I3032" i="1"/>
  <c r="H3032" i="1"/>
  <c r="I3031" i="1"/>
  <c r="H3031" i="1"/>
  <c r="I3030" i="1"/>
  <c r="H3030" i="1"/>
  <c r="I3029" i="1"/>
  <c r="H3029" i="1"/>
  <c r="I3028" i="1"/>
  <c r="H3028" i="1"/>
  <c r="I3027" i="1"/>
  <c r="H3027" i="1"/>
  <c r="I3026" i="1"/>
  <c r="H3026" i="1"/>
  <c r="I3025" i="1"/>
  <c r="H3025" i="1"/>
  <c r="I3024" i="1"/>
  <c r="H3024" i="1"/>
  <c r="I3023" i="1"/>
  <c r="H3023" i="1"/>
  <c r="I3022" i="1"/>
  <c r="H3022" i="1"/>
  <c r="I3021" i="1"/>
  <c r="H3021" i="1"/>
  <c r="I3020" i="1"/>
  <c r="H3020" i="1"/>
  <c r="I3019" i="1"/>
  <c r="H3019" i="1"/>
  <c r="I3018" i="1"/>
  <c r="H3018" i="1"/>
  <c r="I3017" i="1"/>
  <c r="H3017" i="1"/>
  <c r="I3016" i="1"/>
  <c r="H3016" i="1"/>
  <c r="I3015" i="1"/>
  <c r="H3015" i="1"/>
  <c r="I3014" i="1"/>
  <c r="H3014" i="1"/>
  <c r="I3013" i="1"/>
  <c r="H3013" i="1"/>
  <c r="I3012" i="1"/>
  <c r="H3012" i="1"/>
  <c r="I3011" i="1"/>
  <c r="H3011" i="1"/>
  <c r="I3010" i="1"/>
  <c r="H3010" i="1"/>
  <c r="I3009" i="1"/>
  <c r="H3009" i="1"/>
  <c r="I3008" i="1"/>
  <c r="H3008" i="1"/>
  <c r="I3007" i="1"/>
  <c r="H3007" i="1"/>
  <c r="I3006" i="1"/>
  <c r="H3006" i="1"/>
  <c r="I3005" i="1"/>
  <c r="H3005" i="1"/>
  <c r="I3004" i="1"/>
  <c r="H3004" i="1"/>
  <c r="I3003" i="1"/>
  <c r="H3003" i="1"/>
  <c r="I3002" i="1"/>
  <c r="H3002" i="1"/>
  <c r="I3001" i="1"/>
  <c r="H3001" i="1"/>
  <c r="I3000" i="1"/>
  <c r="H3000" i="1"/>
  <c r="I2999" i="1"/>
  <c r="H2999" i="1"/>
  <c r="I2998" i="1"/>
  <c r="H2998" i="1"/>
  <c r="I2997" i="1"/>
  <c r="H2997" i="1"/>
  <c r="I2996" i="1"/>
  <c r="H2996" i="1"/>
  <c r="I2995" i="1"/>
  <c r="H2995" i="1"/>
  <c r="I2994" i="1"/>
  <c r="H2994" i="1"/>
  <c r="I2993" i="1"/>
  <c r="H2993" i="1"/>
  <c r="I2992" i="1"/>
  <c r="H2992" i="1"/>
  <c r="I2991" i="1"/>
  <c r="H2991" i="1"/>
  <c r="I2990" i="1"/>
  <c r="H2990" i="1"/>
  <c r="I2989" i="1"/>
  <c r="H2989" i="1"/>
  <c r="I2988" i="1"/>
  <c r="H2988" i="1"/>
  <c r="I2987" i="1"/>
  <c r="H2987" i="1"/>
  <c r="I2986" i="1"/>
  <c r="H2986" i="1"/>
  <c r="I2985" i="1"/>
  <c r="H2985" i="1"/>
  <c r="I2984" i="1"/>
  <c r="H2984" i="1"/>
  <c r="I2983" i="1"/>
  <c r="H2983" i="1"/>
  <c r="I2982" i="1"/>
  <c r="H2982" i="1"/>
  <c r="I2981" i="1"/>
  <c r="H2981" i="1"/>
  <c r="I2980" i="1"/>
  <c r="H2980" i="1"/>
  <c r="I2979" i="1"/>
  <c r="H2979" i="1"/>
  <c r="I2978" i="1"/>
  <c r="H2978" i="1"/>
  <c r="I2977" i="1"/>
  <c r="H2977" i="1"/>
  <c r="I2976" i="1"/>
  <c r="H2976" i="1"/>
  <c r="I2975" i="1"/>
  <c r="H2975" i="1"/>
  <c r="I2974" i="1"/>
  <c r="H2974" i="1"/>
  <c r="I2973" i="1"/>
  <c r="H2973" i="1"/>
  <c r="I2972" i="1"/>
  <c r="H2972" i="1"/>
  <c r="I2971" i="1"/>
  <c r="H2971" i="1"/>
  <c r="I2970" i="1"/>
  <c r="H2970" i="1"/>
  <c r="I2969" i="1"/>
  <c r="H2969" i="1"/>
  <c r="I2968" i="1"/>
  <c r="H2968" i="1"/>
  <c r="I2967" i="1"/>
  <c r="H2967" i="1"/>
  <c r="I2966" i="1"/>
  <c r="H2966" i="1"/>
  <c r="I2965" i="1"/>
  <c r="H2965" i="1"/>
  <c r="I2964" i="1"/>
  <c r="H2964" i="1"/>
  <c r="I2963" i="1"/>
  <c r="H2963" i="1"/>
  <c r="I2962" i="1"/>
  <c r="H2962" i="1"/>
  <c r="I2961" i="1"/>
  <c r="H2961" i="1"/>
  <c r="I2960" i="1"/>
  <c r="H2960" i="1"/>
  <c r="I2959" i="1"/>
  <c r="H2959" i="1"/>
  <c r="I2958" i="1"/>
  <c r="H2958" i="1"/>
  <c r="I2957" i="1"/>
  <c r="H2957" i="1"/>
  <c r="I2956" i="1"/>
  <c r="H2956" i="1"/>
  <c r="I2955" i="1"/>
  <c r="H2955" i="1"/>
  <c r="I2954" i="1"/>
  <c r="H2954" i="1"/>
  <c r="I2953" i="1"/>
  <c r="H2953" i="1"/>
  <c r="I2952" i="1"/>
  <c r="H2952" i="1"/>
  <c r="I2951" i="1"/>
  <c r="H2951" i="1"/>
  <c r="I2950" i="1"/>
  <c r="H2950" i="1"/>
  <c r="I2949" i="1"/>
  <c r="H2949" i="1"/>
  <c r="I2948" i="1"/>
  <c r="H2948" i="1"/>
  <c r="I2947" i="1"/>
  <c r="H2947" i="1"/>
  <c r="I2946" i="1"/>
  <c r="H2946" i="1"/>
  <c r="I2945" i="1"/>
  <c r="H2945" i="1"/>
  <c r="I2944" i="1"/>
  <c r="H2944" i="1"/>
  <c r="I2943" i="1"/>
  <c r="H2943" i="1"/>
  <c r="I2942" i="1"/>
  <c r="H2942" i="1"/>
  <c r="I2941" i="1"/>
  <c r="H2941" i="1"/>
  <c r="I2940" i="1"/>
  <c r="H2940" i="1"/>
  <c r="I2939" i="1"/>
  <c r="H2939" i="1"/>
  <c r="I2938" i="1"/>
  <c r="H2938" i="1"/>
  <c r="I2937" i="1"/>
  <c r="H2937" i="1"/>
  <c r="I2936" i="1"/>
  <c r="H2936" i="1"/>
  <c r="I2935" i="1"/>
  <c r="H2935" i="1"/>
  <c r="I2934" i="1"/>
  <c r="H2934" i="1"/>
  <c r="I2933" i="1"/>
  <c r="H2933" i="1"/>
  <c r="I2932" i="1"/>
  <c r="H2932" i="1"/>
  <c r="I2931" i="1"/>
  <c r="H2931" i="1"/>
  <c r="I2930" i="1"/>
  <c r="H2930" i="1"/>
  <c r="I2929" i="1"/>
  <c r="H2929" i="1"/>
  <c r="I2928" i="1"/>
  <c r="H2928" i="1"/>
  <c r="I2927" i="1"/>
  <c r="H2927" i="1"/>
  <c r="I2926" i="1"/>
  <c r="H2926" i="1"/>
  <c r="I2925" i="1"/>
  <c r="H2925" i="1"/>
  <c r="I2924" i="1"/>
  <c r="H2924" i="1"/>
  <c r="I2923" i="1"/>
  <c r="H2923" i="1"/>
  <c r="I2922" i="1"/>
  <c r="H2922" i="1"/>
  <c r="I2921" i="1"/>
  <c r="H2921" i="1"/>
  <c r="I2920" i="1"/>
  <c r="H2920" i="1"/>
  <c r="I2919" i="1"/>
  <c r="H2919" i="1"/>
  <c r="I2918" i="1"/>
  <c r="H2918" i="1"/>
  <c r="I2917" i="1"/>
  <c r="H2917" i="1"/>
  <c r="I2916" i="1"/>
  <c r="H2916" i="1"/>
  <c r="I2915" i="1"/>
  <c r="H2915" i="1"/>
  <c r="I2914" i="1"/>
  <c r="H2914" i="1"/>
  <c r="I2913" i="1"/>
  <c r="H2913" i="1"/>
  <c r="I2912" i="1"/>
  <c r="H2912" i="1"/>
  <c r="I2911" i="1"/>
  <c r="H2911" i="1"/>
  <c r="I2910" i="1"/>
  <c r="H2910" i="1"/>
  <c r="I2909" i="1"/>
  <c r="H2909" i="1"/>
  <c r="I2908" i="1"/>
  <c r="H2908" i="1"/>
  <c r="I2907" i="1"/>
  <c r="H2907" i="1"/>
  <c r="I2906" i="1"/>
  <c r="H2906" i="1"/>
  <c r="I2905" i="1"/>
  <c r="H2905" i="1"/>
  <c r="I2904" i="1"/>
  <c r="H2904" i="1"/>
  <c r="I2903" i="1"/>
  <c r="H2903" i="1"/>
  <c r="I2902" i="1"/>
  <c r="H2902" i="1"/>
  <c r="I2901" i="1"/>
  <c r="H2901" i="1"/>
  <c r="I2900" i="1"/>
  <c r="H2900" i="1"/>
  <c r="I2899" i="1"/>
  <c r="H2899" i="1"/>
  <c r="I2898" i="1"/>
  <c r="H2898" i="1"/>
  <c r="I2897" i="1"/>
  <c r="H2897" i="1"/>
  <c r="I2896" i="1"/>
  <c r="H2896" i="1"/>
  <c r="I2895" i="1"/>
  <c r="H2895" i="1"/>
  <c r="I2894" i="1"/>
  <c r="H2894" i="1"/>
  <c r="I2893" i="1"/>
  <c r="H2893" i="1"/>
  <c r="I2892" i="1"/>
  <c r="H2892" i="1"/>
  <c r="I2891" i="1"/>
  <c r="H2891" i="1"/>
  <c r="I2890" i="1"/>
  <c r="H2890" i="1"/>
  <c r="I2889" i="1"/>
  <c r="H2889" i="1"/>
  <c r="I2888" i="1"/>
  <c r="H2888" i="1"/>
  <c r="I2887" i="1"/>
  <c r="H2887" i="1"/>
  <c r="I2886" i="1"/>
  <c r="H2886" i="1"/>
  <c r="I2885" i="1"/>
  <c r="H2885" i="1"/>
  <c r="I2884" i="1"/>
  <c r="H2884" i="1"/>
  <c r="I2883" i="1"/>
  <c r="H2883" i="1"/>
  <c r="I2882" i="1"/>
  <c r="H2882" i="1"/>
  <c r="I2881" i="1"/>
  <c r="H2881" i="1"/>
  <c r="I2880" i="1"/>
  <c r="H2880" i="1"/>
  <c r="I2879" i="1"/>
  <c r="H2879" i="1"/>
  <c r="I2878" i="1"/>
  <c r="H2878" i="1"/>
  <c r="I2877" i="1"/>
  <c r="H2877" i="1"/>
  <c r="I2876" i="1"/>
  <c r="H2876" i="1"/>
  <c r="I2875" i="1"/>
  <c r="H2875" i="1"/>
  <c r="I2874" i="1"/>
  <c r="H2874" i="1"/>
  <c r="I2873" i="1"/>
  <c r="H2873" i="1"/>
  <c r="I2872" i="1"/>
  <c r="H2872" i="1"/>
  <c r="I2871" i="1"/>
  <c r="H2871" i="1"/>
  <c r="I2870" i="1"/>
  <c r="H2870" i="1"/>
  <c r="I2869" i="1"/>
  <c r="H2869" i="1"/>
  <c r="I2868" i="1"/>
  <c r="H2868" i="1"/>
  <c r="I2867" i="1"/>
  <c r="H2867" i="1"/>
  <c r="I2866" i="1"/>
  <c r="H2866" i="1"/>
  <c r="I2865" i="1"/>
  <c r="H2865" i="1"/>
  <c r="I2864" i="1"/>
  <c r="H2864" i="1"/>
  <c r="I2863" i="1"/>
  <c r="H2863" i="1"/>
  <c r="I2862" i="1"/>
  <c r="H2862" i="1"/>
  <c r="I2861" i="1"/>
  <c r="H2861" i="1"/>
  <c r="I2860" i="1"/>
  <c r="H2860" i="1"/>
  <c r="I2859" i="1"/>
  <c r="H2859" i="1"/>
  <c r="I2858" i="1"/>
  <c r="H2858" i="1"/>
  <c r="I2857" i="1"/>
  <c r="H2857" i="1"/>
  <c r="I2856" i="1"/>
  <c r="H2856" i="1"/>
  <c r="I2855" i="1"/>
  <c r="H2855" i="1"/>
  <c r="I2854" i="1"/>
  <c r="H2854" i="1"/>
  <c r="I2853" i="1"/>
  <c r="H2853" i="1"/>
  <c r="I2852" i="1"/>
  <c r="H2852" i="1"/>
  <c r="I2851" i="1"/>
  <c r="H2851" i="1"/>
  <c r="I2850" i="1"/>
  <c r="H2850" i="1"/>
  <c r="I2849" i="1"/>
  <c r="H2849" i="1"/>
  <c r="I2848" i="1"/>
  <c r="H2848" i="1"/>
  <c r="I2847" i="1"/>
  <c r="H2847" i="1"/>
  <c r="I2846" i="1"/>
  <c r="H2846" i="1"/>
  <c r="I2845" i="1"/>
  <c r="H2845" i="1"/>
  <c r="I2844" i="1"/>
  <c r="H2844" i="1"/>
  <c r="I2843" i="1"/>
  <c r="H2843" i="1"/>
  <c r="I2842" i="1"/>
  <c r="H2842" i="1"/>
  <c r="I2841" i="1"/>
  <c r="H2841" i="1"/>
  <c r="I2840" i="1"/>
  <c r="H2840" i="1"/>
  <c r="I2839" i="1"/>
  <c r="H2839" i="1"/>
  <c r="I2838" i="1"/>
  <c r="H2838" i="1"/>
  <c r="I2837" i="1"/>
  <c r="H2837" i="1"/>
  <c r="I2836" i="1"/>
  <c r="H2836" i="1"/>
  <c r="I2835" i="1"/>
  <c r="H2835" i="1"/>
  <c r="I2834" i="1"/>
  <c r="H2834" i="1"/>
  <c r="I2833" i="1"/>
  <c r="H2833" i="1"/>
  <c r="I2832" i="1"/>
  <c r="H2832" i="1"/>
  <c r="I2831" i="1"/>
  <c r="H2831" i="1"/>
  <c r="I2830" i="1"/>
  <c r="H2830" i="1"/>
  <c r="I2829" i="1"/>
  <c r="H2829" i="1"/>
  <c r="I2828" i="1"/>
  <c r="H2828" i="1"/>
  <c r="I2827" i="1"/>
  <c r="H2827" i="1"/>
  <c r="I2826" i="1"/>
  <c r="H2826" i="1"/>
  <c r="I2825" i="1"/>
  <c r="H2825" i="1"/>
  <c r="I2824" i="1"/>
  <c r="H2824" i="1"/>
  <c r="I2823" i="1"/>
  <c r="H2823" i="1"/>
  <c r="I2822" i="1"/>
  <c r="H2822" i="1"/>
  <c r="I2821" i="1"/>
  <c r="H2821" i="1"/>
  <c r="I2820" i="1"/>
  <c r="H2820" i="1"/>
  <c r="I2819" i="1"/>
  <c r="H2819" i="1"/>
  <c r="I2818" i="1"/>
  <c r="H2818" i="1"/>
  <c r="I2817" i="1"/>
  <c r="H2817" i="1"/>
  <c r="I2816" i="1"/>
  <c r="H2816" i="1"/>
  <c r="I2815" i="1"/>
  <c r="H2815" i="1"/>
  <c r="I2814" i="1"/>
  <c r="H2814" i="1"/>
  <c r="I2813" i="1"/>
  <c r="H2813" i="1"/>
  <c r="I2812" i="1"/>
  <c r="H2812" i="1"/>
  <c r="I2811" i="1"/>
  <c r="H2811" i="1"/>
  <c r="I2810" i="1"/>
  <c r="H2810" i="1"/>
  <c r="I2809" i="1"/>
  <c r="H2809" i="1"/>
  <c r="I2808" i="1"/>
  <c r="H2808" i="1"/>
  <c r="I2807" i="1"/>
  <c r="H2807" i="1"/>
  <c r="I2806" i="1"/>
  <c r="H2806" i="1"/>
  <c r="I2805" i="1"/>
  <c r="H2805" i="1"/>
  <c r="I2804" i="1"/>
  <c r="H2804" i="1"/>
  <c r="I2803" i="1"/>
  <c r="H2803" i="1"/>
  <c r="I2802" i="1"/>
  <c r="H2802" i="1"/>
  <c r="I2801" i="1"/>
  <c r="H2801" i="1"/>
  <c r="I2800" i="1"/>
  <c r="H2800" i="1"/>
  <c r="I2799" i="1"/>
  <c r="H2799" i="1"/>
  <c r="I2798" i="1"/>
  <c r="H2798" i="1"/>
  <c r="I2797" i="1"/>
  <c r="H2797" i="1"/>
  <c r="I2796" i="1"/>
  <c r="H2796" i="1"/>
  <c r="I2795" i="1"/>
  <c r="H2795" i="1"/>
  <c r="I2794" i="1"/>
  <c r="H2794" i="1"/>
  <c r="I2793" i="1"/>
  <c r="H2793" i="1"/>
  <c r="I2792" i="1"/>
  <c r="H2792" i="1"/>
  <c r="I2791" i="1"/>
  <c r="H2791" i="1"/>
  <c r="I2790" i="1"/>
  <c r="H2790" i="1"/>
  <c r="I2789" i="1"/>
  <c r="H2789" i="1"/>
  <c r="I2788" i="1"/>
  <c r="H2788" i="1"/>
  <c r="I2787" i="1"/>
  <c r="H2787" i="1"/>
  <c r="I2786" i="1"/>
  <c r="H2786" i="1"/>
  <c r="I2785" i="1"/>
  <c r="H2785" i="1"/>
  <c r="I2784" i="1"/>
  <c r="H2784" i="1"/>
  <c r="I2783" i="1"/>
  <c r="H2783" i="1"/>
  <c r="I2782" i="1"/>
  <c r="H2782" i="1"/>
  <c r="I2781" i="1"/>
  <c r="H2781" i="1"/>
  <c r="I2780" i="1"/>
  <c r="H2780" i="1"/>
  <c r="I2779" i="1"/>
  <c r="H2779" i="1"/>
  <c r="I2778" i="1"/>
  <c r="H2778" i="1"/>
  <c r="I2777" i="1"/>
  <c r="H2777" i="1"/>
  <c r="I2776" i="1"/>
  <c r="H2776" i="1"/>
  <c r="I2775" i="1"/>
  <c r="H2775" i="1"/>
  <c r="I2774" i="1"/>
  <c r="H2774" i="1"/>
  <c r="I2773" i="1"/>
  <c r="H2773" i="1"/>
  <c r="I2772" i="1"/>
  <c r="H2772" i="1"/>
  <c r="I2771" i="1"/>
  <c r="H2771" i="1"/>
  <c r="I2770" i="1"/>
  <c r="H2770" i="1"/>
  <c r="I2769" i="1"/>
  <c r="H2769" i="1"/>
  <c r="I2768" i="1"/>
  <c r="H2768" i="1"/>
  <c r="I2767" i="1"/>
  <c r="H2767" i="1"/>
  <c r="I2766" i="1"/>
  <c r="H2766" i="1"/>
  <c r="I2765" i="1"/>
  <c r="H2765" i="1"/>
  <c r="I2764" i="1"/>
  <c r="H2764" i="1"/>
  <c r="I2763" i="1"/>
  <c r="H2763" i="1"/>
  <c r="I2762" i="1"/>
  <c r="H2762" i="1"/>
  <c r="I2761" i="1"/>
  <c r="H2761" i="1"/>
  <c r="I2760" i="1"/>
  <c r="H2760" i="1"/>
  <c r="I2759" i="1"/>
  <c r="H2759" i="1"/>
  <c r="I2758" i="1"/>
  <c r="H2758" i="1"/>
  <c r="I2757" i="1"/>
  <c r="H2757" i="1"/>
  <c r="I2756" i="1"/>
  <c r="H2756" i="1"/>
  <c r="I2755" i="1"/>
  <c r="H2755" i="1"/>
  <c r="I2754" i="1"/>
  <c r="H2754" i="1"/>
  <c r="I2753" i="1"/>
  <c r="H2753" i="1"/>
  <c r="I2752" i="1"/>
  <c r="H2752" i="1"/>
  <c r="I2751" i="1"/>
  <c r="H2751" i="1"/>
  <c r="I2750" i="1"/>
  <c r="H2750" i="1"/>
  <c r="I2749" i="1"/>
  <c r="H2749" i="1"/>
  <c r="I2748" i="1"/>
  <c r="H2748" i="1"/>
  <c r="I2747" i="1"/>
  <c r="H2747" i="1"/>
  <c r="I2746" i="1"/>
  <c r="H2746" i="1"/>
  <c r="I2745" i="1"/>
  <c r="H2745" i="1"/>
  <c r="I2744" i="1"/>
  <c r="H2744" i="1"/>
  <c r="I2743" i="1"/>
  <c r="H2743" i="1"/>
  <c r="I2742" i="1"/>
  <c r="H2742" i="1"/>
  <c r="I2741" i="1"/>
  <c r="H2741" i="1"/>
  <c r="I2740" i="1"/>
  <c r="H2740" i="1"/>
  <c r="I2739" i="1"/>
  <c r="H2739" i="1"/>
  <c r="I2738" i="1"/>
  <c r="H2738" i="1"/>
  <c r="I2737" i="1"/>
  <c r="H2737" i="1"/>
  <c r="I2736" i="1"/>
  <c r="H2736" i="1"/>
  <c r="I2735" i="1"/>
  <c r="H2735" i="1"/>
  <c r="I2734" i="1"/>
  <c r="H2734" i="1"/>
  <c r="I2733" i="1"/>
  <c r="H2733" i="1"/>
  <c r="I2732" i="1"/>
  <c r="H2732" i="1"/>
  <c r="I2731" i="1"/>
  <c r="H2731" i="1"/>
  <c r="I2730" i="1"/>
  <c r="H2730" i="1"/>
  <c r="I2729" i="1"/>
  <c r="H2729" i="1"/>
  <c r="I2728" i="1"/>
  <c r="H2728" i="1"/>
  <c r="I2727" i="1"/>
  <c r="H2727" i="1"/>
  <c r="I2726" i="1"/>
  <c r="H2726" i="1"/>
  <c r="I2725" i="1"/>
  <c r="H2725" i="1"/>
  <c r="I2724" i="1"/>
  <c r="H2724" i="1"/>
  <c r="I2723" i="1"/>
  <c r="H2723" i="1"/>
  <c r="I2722" i="1"/>
  <c r="H2722" i="1"/>
  <c r="I2721" i="1"/>
  <c r="H2721" i="1"/>
  <c r="I2720" i="1"/>
  <c r="H2720" i="1"/>
  <c r="I2719" i="1"/>
  <c r="H2719" i="1"/>
  <c r="I2718" i="1"/>
  <c r="H2718" i="1"/>
  <c r="I2717" i="1"/>
  <c r="H2717" i="1"/>
  <c r="I2716" i="1"/>
  <c r="H2716" i="1"/>
  <c r="I2715" i="1"/>
  <c r="H2715" i="1"/>
  <c r="I2714" i="1"/>
  <c r="H2714" i="1"/>
  <c r="I2713" i="1"/>
  <c r="H2713" i="1"/>
  <c r="I2712" i="1"/>
  <c r="H2712" i="1"/>
  <c r="I2711" i="1"/>
  <c r="H2711" i="1"/>
  <c r="I2710" i="1"/>
  <c r="H2710" i="1"/>
  <c r="I2709" i="1"/>
  <c r="H2709" i="1"/>
  <c r="I2708" i="1"/>
  <c r="H2708" i="1"/>
  <c r="I2707" i="1"/>
  <c r="H2707" i="1"/>
  <c r="I2706" i="1"/>
  <c r="H2706" i="1"/>
  <c r="I2705" i="1"/>
  <c r="H2705" i="1"/>
  <c r="I2704" i="1"/>
  <c r="H2704" i="1"/>
  <c r="I2703" i="1"/>
  <c r="H2703" i="1"/>
  <c r="I2702" i="1"/>
  <c r="H2702" i="1"/>
  <c r="I2701" i="1"/>
  <c r="H2701" i="1"/>
  <c r="I2700" i="1"/>
  <c r="H2700" i="1"/>
  <c r="I2699" i="1"/>
  <c r="H2699" i="1"/>
  <c r="I2698" i="1"/>
  <c r="H2698" i="1"/>
  <c r="I2697" i="1"/>
  <c r="H2697" i="1"/>
  <c r="I2696" i="1"/>
  <c r="H2696" i="1"/>
  <c r="I2695" i="1"/>
  <c r="H2695" i="1"/>
  <c r="I2694" i="1"/>
  <c r="H2694" i="1"/>
  <c r="I2693" i="1"/>
  <c r="H2693" i="1"/>
  <c r="I2692" i="1"/>
  <c r="H2692" i="1"/>
  <c r="I2691" i="1"/>
  <c r="H2691" i="1"/>
  <c r="I2690" i="1"/>
  <c r="H2690" i="1"/>
  <c r="I2689" i="1"/>
  <c r="H2689" i="1"/>
  <c r="I2688" i="1"/>
  <c r="H2688" i="1"/>
  <c r="I2687" i="1"/>
  <c r="H2687" i="1"/>
  <c r="I2686" i="1"/>
  <c r="H2686" i="1"/>
  <c r="I2685" i="1"/>
  <c r="H2685" i="1"/>
  <c r="I2684" i="1"/>
  <c r="H2684" i="1"/>
  <c r="I2683" i="1"/>
  <c r="H2683" i="1"/>
  <c r="I2682" i="1"/>
  <c r="H2682" i="1"/>
  <c r="I2681" i="1"/>
  <c r="H2681" i="1"/>
  <c r="I2680" i="1"/>
  <c r="H2680" i="1"/>
  <c r="I2679" i="1"/>
  <c r="H2679" i="1"/>
  <c r="I2678" i="1"/>
  <c r="H2678" i="1"/>
  <c r="I2677" i="1"/>
  <c r="H2677" i="1"/>
  <c r="I2676" i="1"/>
  <c r="H2676" i="1"/>
  <c r="I2675" i="1"/>
  <c r="H2675" i="1"/>
  <c r="I2674" i="1"/>
  <c r="H2674" i="1"/>
  <c r="I2673" i="1"/>
  <c r="H2673" i="1"/>
  <c r="I2672" i="1"/>
  <c r="H2672" i="1"/>
  <c r="I2671" i="1"/>
  <c r="H2671" i="1"/>
  <c r="I2670" i="1"/>
  <c r="H2670" i="1"/>
  <c r="I2669" i="1"/>
  <c r="H2669" i="1"/>
  <c r="I2668" i="1"/>
  <c r="H2668" i="1"/>
  <c r="I2667" i="1"/>
  <c r="H2667" i="1"/>
  <c r="I2666" i="1"/>
  <c r="H2666" i="1"/>
  <c r="I2665" i="1"/>
  <c r="H2665" i="1"/>
  <c r="I2664" i="1"/>
  <c r="H2664" i="1"/>
  <c r="I2663" i="1"/>
  <c r="H2663" i="1"/>
  <c r="I2662" i="1"/>
  <c r="H2662" i="1"/>
  <c r="I2661" i="1"/>
  <c r="H2661" i="1"/>
  <c r="I2660" i="1"/>
  <c r="H2660" i="1"/>
  <c r="I2659" i="1"/>
  <c r="H2659" i="1"/>
  <c r="I2658" i="1"/>
  <c r="H2658" i="1"/>
  <c r="I2657" i="1"/>
  <c r="H2657" i="1"/>
  <c r="I2656" i="1"/>
  <c r="H2656" i="1"/>
  <c r="I2655" i="1"/>
  <c r="H2655" i="1"/>
  <c r="I2654" i="1"/>
  <c r="H2654" i="1"/>
  <c r="I2653" i="1"/>
  <c r="H2653" i="1"/>
  <c r="I2652" i="1"/>
  <c r="H2652" i="1"/>
  <c r="I2651" i="1"/>
  <c r="H2651" i="1"/>
  <c r="I2650" i="1"/>
  <c r="H2650" i="1"/>
  <c r="I2649" i="1"/>
  <c r="H2649" i="1"/>
  <c r="I2648" i="1"/>
  <c r="H2648" i="1"/>
  <c r="I2647" i="1"/>
  <c r="H2647" i="1"/>
  <c r="I2646" i="1"/>
  <c r="H2646" i="1"/>
  <c r="I2645" i="1"/>
  <c r="H2645" i="1"/>
  <c r="I2644" i="1"/>
  <c r="H2644" i="1"/>
  <c r="I2643" i="1"/>
  <c r="H2643" i="1"/>
  <c r="I2642" i="1"/>
  <c r="H2642" i="1"/>
  <c r="I2641" i="1"/>
  <c r="H2641" i="1"/>
  <c r="I2640" i="1"/>
  <c r="H2640" i="1"/>
  <c r="I2639" i="1"/>
  <c r="H2639" i="1"/>
  <c r="I2638" i="1"/>
  <c r="H2638" i="1"/>
  <c r="I2637" i="1"/>
  <c r="H2637" i="1"/>
  <c r="I2636" i="1"/>
  <c r="H2636" i="1"/>
  <c r="I2635" i="1"/>
  <c r="H2635" i="1"/>
  <c r="I2634" i="1"/>
  <c r="H2634" i="1"/>
  <c r="I2633" i="1"/>
  <c r="H2633" i="1"/>
  <c r="I2632" i="1"/>
  <c r="H2632" i="1"/>
  <c r="I2631" i="1"/>
  <c r="H2631" i="1"/>
  <c r="I2630" i="1"/>
  <c r="H2630" i="1"/>
  <c r="I2629" i="1"/>
  <c r="H2629" i="1"/>
  <c r="I2628" i="1"/>
  <c r="H2628" i="1"/>
  <c r="I2627" i="1"/>
  <c r="H2627" i="1"/>
  <c r="I2626" i="1"/>
  <c r="H2626" i="1"/>
  <c r="I2625" i="1"/>
  <c r="H2625" i="1"/>
  <c r="I2624" i="1"/>
  <c r="H2624" i="1"/>
  <c r="I2623" i="1"/>
  <c r="H2623" i="1"/>
  <c r="I2622" i="1"/>
  <c r="H2622" i="1"/>
  <c r="I2621" i="1"/>
  <c r="H2621" i="1"/>
  <c r="I2620" i="1"/>
  <c r="H2620" i="1"/>
  <c r="I2619" i="1"/>
  <c r="H2619" i="1"/>
  <c r="I2618" i="1"/>
  <c r="H2618" i="1"/>
  <c r="I2617" i="1"/>
  <c r="H2617" i="1"/>
  <c r="I2616" i="1"/>
  <c r="H2616" i="1"/>
  <c r="I2615" i="1"/>
  <c r="H2615" i="1"/>
  <c r="I2614" i="1"/>
  <c r="H2614" i="1"/>
  <c r="I2613" i="1"/>
  <c r="H2613" i="1"/>
  <c r="I2612" i="1"/>
  <c r="H2612" i="1"/>
  <c r="I2611" i="1"/>
  <c r="H2611" i="1"/>
  <c r="I2610" i="1"/>
  <c r="H2610" i="1"/>
  <c r="I2609" i="1"/>
  <c r="H2609" i="1"/>
  <c r="I2608" i="1"/>
  <c r="H2608" i="1"/>
  <c r="I2607" i="1"/>
  <c r="H2607" i="1"/>
  <c r="I2606" i="1"/>
  <c r="H2606" i="1"/>
  <c r="I2605" i="1"/>
  <c r="H2605" i="1"/>
  <c r="I2604" i="1"/>
  <c r="H2604" i="1"/>
  <c r="I2603" i="1"/>
  <c r="H2603" i="1"/>
  <c r="I2602" i="1"/>
  <c r="H2602" i="1"/>
  <c r="I2601" i="1"/>
  <c r="H2601" i="1"/>
  <c r="I2600" i="1"/>
  <c r="H2600" i="1"/>
  <c r="I2599" i="1"/>
  <c r="H2599" i="1"/>
  <c r="I2598" i="1"/>
  <c r="H2598" i="1"/>
  <c r="I2597" i="1"/>
  <c r="H2597" i="1"/>
  <c r="I2596" i="1"/>
  <c r="H2596" i="1"/>
  <c r="I2595" i="1"/>
  <c r="H2595" i="1"/>
  <c r="I2594" i="1"/>
  <c r="H2594" i="1"/>
  <c r="I2593" i="1"/>
  <c r="H2593" i="1"/>
  <c r="I2592" i="1"/>
  <c r="H2592" i="1"/>
  <c r="I2591" i="1"/>
  <c r="H2591" i="1"/>
  <c r="I2590" i="1"/>
  <c r="H2590" i="1"/>
  <c r="I2589" i="1"/>
  <c r="H2589" i="1"/>
  <c r="I2588" i="1"/>
  <c r="H2588" i="1"/>
  <c r="I2587" i="1"/>
  <c r="H2587" i="1"/>
  <c r="I2586" i="1"/>
  <c r="H2586" i="1"/>
  <c r="I2585" i="1"/>
  <c r="H2585" i="1"/>
  <c r="I2584" i="1"/>
  <c r="H2584" i="1"/>
  <c r="I2583" i="1"/>
  <c r="H2583" i="1"/>
  <c r="I2582" i="1"/>
  <c r="H2582" i="1"/>
  <c r="I2581" i="1"/>
  <c r="H2581" i="1"/>
  <c r="I2580" i="1"/>
  <c r="H2580" i="1"/>
  <c r="I2579" i="1"/>
  <c r="H2579" i="1"/>
  <c r="I2578" i="1"/>
  <c r="H2578" i="1"/>
  <c r="I2577" i="1"/>
  <c r="H2577" i="1"/>
  <c r="I2576" i="1"/>
  <c r="H2576" i="1"/>
  <c r="I2575" i="1"/>
  <c r="H2575" i="1"/>
  <c r="I2574" i="1"/>
  <c r="H2574" i="1"/>
  <c r="I2573" i="1"/>
  <c r="H2573" i="1"/>
  <c r="I2572" i="1"/>
  <c r="H2572" i="1"/>
  <c r="I2571" i="1"/>
  <c r="H2571" i="1"/>
  <c r="I2570" i="1"/>
  <c r="H2570" i="1"/>
  <c r="I2569" i="1"/>
  <c r="H2569" i="1"/>
  <c r="I2568" i="1"/>
  <c r="H2568" i="1"/>
  <c r="I2567" i="1"/>
  <c r="H2567" i="1"/>
  <c r="I2566" i="1"/>
  <c r="H2566" i="1"/>
  <c r="I2565" i="1"/>
  <c r="H2565" i="1"/>
  <c r="I2564" i="1"/>
  <c r="H2564" i="1"/>
  <c r="I2563" i="1"/>
  <c r="H2563" i="1"/>
  <c r="I2562" i="1"/>
  <c r="H2562" i="1"/>
  <c r="I2561" i="1"/>
  <c r="H2561" i="1"/>
  <c r="I2560" i="1"/>
  <c r="H2560" i="1"/>
  <c r="I2559" i="1"/>
  <c r="H2559" i="1"/>
  <c r="I2558" i="1"/>
  <c r="H2558" i="1"/>
  <c r="I2557" i="1"/>
  <c r="H2557" i="1"/>
  <c r="I2556" i="1"/>
  <c r="H2556" i="1"/>
  <c r="I2555" i="1"/>
  <c r="H2555" i="1"/>
  <c r="I2554" i="1"/>
  <c r="H2554" i="1"/>
  <c r="I2553" i="1"/>
  <c r="H2553" i="1"/>
  <c r="I2552" i="1"/>
  <c r="H2552" i="1"/>
  <c r="I2551" i="1"/>
  <c r="H2551" i="1"/>
  <c r="I2550" i="1"/>
  <c r="H2550" i="1"/>
  <c r="I2549" i="1"/>
  <c r="H2549" i="1"/>
  <c r="I2548" i="1"/>
  <c r="H2548" i="1"/>
  <c r="I2547" i="1"/>
  <c r="H2547" i="1"/>
  <c r="I2546" i="1"/>
  <c r="H2546" i="1"/>
  <c r="I2545" i="1"/>
  <c r="H2545" i="1"/>
  <c r="I2544" i="1"/>
  <c r="H2544" i="1"/>
  <c r="I2543" i="1"/>
  <c r="H2543" i="1"/>
  <c r="I2542" i="1"/>
  <c r="H2542" i="1"/>
  <c r="I2541" i="1"/>
  <c r="H2541" i="1"/>
  <c r="I2540" i="1"/>
  <c r="H2540" i="1"/>
  <c r="I2539" i="1"/>
  <c r="H2539" i="1"/>
  <c r="I2538" i="1"/>
  <c r="H2538" i="1"/>
  <c r="I2537" i="1"/>
  <c r="H2537" i="1"/>
  <c r="I2536" i="1"/>
  <c r="H2536" i="1"/>
  <c r="I2535" i="1"/>
  <c r="H2535" i="1"/>
  <c r="I2534" i="1"/>
  <c r="H2534" i="1"/>
  <c r="I2533" i="1"/>
  <c r="H2533" i="1"/>
  <c r="I2532" i="1"/>
  <c r="H2532" i="1"/>
  <c r="I2531" i="1"/>
  <c r="H2531" i="1"/>
  <c r="I2530" i="1"/>
  <c r="H2530" i="1"/>
  <c r="I2529" i="1"/>
  <c r="H2529" i="1"/>
  <c r="I2528" i="1"/>
  <c r="H2528" i="1"/>
  <c r="I2527" i="1"/>
  <c r="H2527" i="1"/>
  <c r="I2526" i="1"/>
  <c r="H2526" i="1"/>
  <c r="I2525" i="1"/>
  <c r="H2525" i="1"/>
  <c r="I2524" i="1"/>
  <c r="H2524" i="1"/>
  <c r="I2523" i="1"/>
  <c r="H2523" i="1"/>
  <c r="I2522" i="1"/>
  <c r="H2522" i="1"/>
  <c r="I2521" i="1"/>
  <c r="H2521" i="1"/>
  <c r="I2520" i="1"/>
  <c r="H2520" i="1"/>
  <c r="I2519" i="1"/>
  <c r="H2519" i="1"/>
  <c r="I2518" i="1"/>
  <c r="H2518" i="1"/>
  <c r="I2517" i="1"/>
  <c r="H2517" i="1"/>
  <c r="I2516" i="1"/>
  <c r="H2516" i="1"/>
  <c r="I2515" i="1"/>
  <c r="H2515" i="1"/>
  <c r="I2514" i="1"/>
  <c r="H2514" i="1"/>
  <c r="I2513" i="1"/>
  <c r="H2513" i="1"/>
  <c r="I2512" i="1"/>
  <c r="H2512" i="1"/>
  <c r="I2511" i="1"/>
  <c r="H2511" i="1"/>
  <c r="I2510" i="1"/>
  <c r="H2510" i="1"/>
  <c r="I2509" i="1"/>
  <c r="H2509" i="1"/>
  <c r="I2508" i="1"/>
  <c r="H2508" i="1"/>
  <c r="I2507" i="1"/>
  <c r="H2507" i="1"/>
  <c r="I2506" i="1"/>
  <c r="H2506" i="1"/>
  <c r="I2505" i="1"/>
  <c r="H2505" i="1"/>
  <c r="I2504" i="1"/>
  <c r="H2504" i="1"/>
  <c r="I2503" i="1"/>
  <c r="H2503" i="1"/>
  <c r="I2502" i="1"/>
  <c r="H2502" i="1"/>
  <c r="I2501" i="1"/>
  <c r="H2501" i="1"/>
  <c r="I2500" i="1"/>
  <c r="H2500" i="1"/>
  <c r="I2499" i="1"/>
  <c r="H2499" i="1"/>
  <c r="I2498" i="1"/>
  <c r="H2498" i="1"/>
  <c r="I2497" i="1"/>
  <c r="H2497" i="1"/>
  <c r="I2496" i="1"/>
  <c r="H2496" i="1"/>
  <c r="I2495" i="1"/>
  <c r="H2495" i="1"/>
  <c r="I2494" i="1"/>
  <c r="H2494" i="1"/>
  <c r="I2493" i="1"/>
  <c r="H2493" i="1"/>
  <c r="I2492" i="1"/>
  <c r="H2492" i="1"/>
  <c r="I2491" i="1"/>
  <c r="H2491" i="1"/>
  <c r="I2490" i="1"/>
  <c r="H2490" i="1"/>
  <c r="I2489" i="1"/>
  <c r="H2489" i="1"/>
  <c r="I2488" i="1"/>
  <c r="H2488" i="1"/>
  <c r="I2487" i="1"/>
  <c r="H2487" i="1"/>
  <c r="I2486" i="1"/>
  <c r="H2486" i="1"/>
  <c r="I2485" i="1"/>
  <c r="H2485" i="1"/>
  <c r="I2484" i="1"/>
  <c r="H2484" i="1"/>
  <c r="I2483" i="1"/>
  <c r="H2483" i="1"/>
  <c r="I2482" i="1"/>
  <c r="H2482" i="1"/>
  <c r="I2481" i="1"/>
  <c r="H2481" i="1"/>
  <c r="I2480" i="1"/>
  <c r="H2480" i="1"/>
  <c r="I2479" i="1"/>
  <c r="H2479" i="1"/>
  <c r="I2478" i="1"/>
  <c r="H2478" i="1"/>
  <c r="I2477" i="1"/>
  <c r="H2477" i="1"/>
  <c r="I2476" i="1"/>
  <c r="H2476" i="1"/>
  <c r="I2475" i="1"/>
  <c r="H2475" i="1"/>
  <c r="I2474" i="1"/>
  <c r="H2474" i="1"/>
  <c r="I2473" i="1"/>
  <c r="H2473" i="1"/>
  <c r="I2472" i="1"/>
  <c r="H2472" i="1"/>
  <c r="I2471" i="1"/>
  <c r="H2471" i="1"/>
  <c r="I2470" i="1"/>
  <c r="H2470" i="1"/>
  <c r="I2469" i="1"/>
  <c r="H2469" i="1"/>
  <c r="I2468" i="1"/>
  <c r="H2468" i="1"/>
  <c r="I2467" i="1"/>
  <c r="H2467" i="1"/>
  <c r="I2466" i="1"/>
  <c r="H2466" i="1"/>
  <c r="I2465" i="1"/>
  <c r="H2465" i="1"/>
  <c r="I2464" i="1"/>
  <c r="H2464" i="1"/>
  <c r="I2463" i="1"/>
  <c r="H2463" i="1"/>
  <c r="I2462" i="1"/>
  <c r="H2462" i="1"/>
  <c r="I2461" i="1"/>
  <c r="H2461" i="1"/>
  <c r="I2460" i="1"/>
  <c r="H2460" i="1"/>
  <c r="I2459" i="1"/>
  <c r="H2459" i="1"/>
  <c r="I2458" i="1"/>
  <c r="H2458" i="1"/>
  <c r="I2457" i="1"/>
  <c r="H2457" i="1"/>
  <c r="I2456" i="1"/>
  <c r="H2456" i="1"/>
  <c r="I2455" i="1"/>
  <c r="H2455" i="1"/>
  <c r="I2454" i="1"/>
  <c r="H2454" i="1"/>
  <c r="I2453" i="1"/>
  <c r="H2453" i="1"/>
  <c r="I2452" i="1"/>
  <c r="H2452" i="1"/>
  <c r="I2451" i="1"/>
  <c r="H2451" i="1"/>
  <c r="I2450" i="1"/>
  <c r="H2450" i="1"/>
  <c r="I2449" i="1"/>
  <c r="H2449" i="1"/>
  <c r="I2448" i="1"/>
  <c r="H2448" i="1"/>
  <c r="I2447" i="1"/>
  <c r="H2447" i="1"/>
  <c r="I2446" i="1"/>
  <c r="H2446" i="1"/>
  <c r="I2445" i="1"/>
  <c r="H2445" i="1"/>
  <c r="I2444" i="1"/>
  <c r="H2444" i="1"/>
  <c r="I2443" i="1"/>
  <c r="H2443" i="1"/>
  <c r="I2442" i="1"/>
  <c r="H2442" i="1"/>
  <c r="I2441" i="1"/>
  <c r="H2441" i="1"/>
  <c r="I2440" i="1"/>
  <c r="H2440" i="1"/>
  <c r="I2439" i="1"/>
  <c r="H2439" i="1"/>
  <c r="I2438" i="1"/>
  <c r="H2438" i="1"/>
  <c r="I2437" i="1"/>
  <c r="H2437" i="1"/>
  <c r="I2436" i="1"/>
  <c r="H2436" i="1"/>
  <c r="I2435" i="1"/>
  <c r="H2435" i="1"/>
  <c r="I2434" i="1"/>
  <c r="H2434" i="1"/>
  <c r="I2433" i="1"/>
  <c r="H2433" i="1"/>
  <c r="I2432" i="1"/>
  <c r="H2432" i="1"/>
  <c r="I2431" i="1"/>
  <c r="H2431" i="1"/>
  <c r="I2430" i="1"/>
  <c r="H2430" i="1"/>
  <c r="I2429" i="1"/>
  <c r="H2429" i="1"/>
  <c r="I2428" i="1"/>
  <c r="H2428" i="1"/>
  <c r="I2427" i="1"/>
  <c r="H2427" i="1"/>
  <c r="I2426" i="1"/>
  <c r="H2426" i="1"/>
  <c r="I2425" i="1"/>
  <c r="H2425" i="1"/>
  <c r="I2424" i="1"/>
  <c r="H2424" i="1"/>
  <c r="I2423" i="1"/>
  <c r="H2423" i="1"/>
  <c r="I2422" i="1"/>
  <c r="H2422" i="1"/>
  <c r="I2421" i="1"/>
  <c r="H2421" i="1"/>
  <c r="I2420" i="1"/>
  <c r="H2420" i="1"/>
  <c r="I2419" i="1"/>
  <c r="H2419" i="1"/>
  <c r="I2418" i="1"/>
  <c r="H2418" i="1"/>
  <c r="I2417" i="1"/>
  <c r="H2417" i="1"/>
  <c r="I2416" i="1"/>
  <c r="H2416" i="1"/>
  <c r="I2415" i="1"/>
  <c r="H2415" i="1"/>
  <c r="I2414" i="1"/>
  <c r="H2414" i="1"/>
  <c r="I2413" i="1"/>
  <c r="H2413" i="1"/>
  <c r="I2412" i="1"/>
  <c r="H2412" i="1"/>
  <c r="I2411" i="1"/>
  <c r="H2411" i="1"/>
  <c r="I2410" i="1"/>
  <c r="H2410" i="1"/>
  <c r="I2409" i="1"/>
  <c r="H2409" i="1"/>
  <c r="I2408" i="1"/>
  <c r="H2408" i="1"/>
  <c r="I2407" i="1"/>
  <c r="H2407" i="1"/>
  <c r="I2406" i="1"/>
  <c r="H2406" i="1"/>
  <c r="I2405" i="1"/>
  <c r="H2405" i="1"/>
  <c r="I2404" i="1"/>
  <c r="H2404" i="1"/>
  <c r="I2403" i="1"/>
  <c r="H2403" i="1"/>
  <c r="I2402" i="1"/>
  <c r="H2402" i="1"/>
  <c r="I2401" i="1"/>
  <c r="H2401" i="1"/>
  <c r="I2400" i="1"/>
  <c r="H2400" i="1"/>
  <c r="I2399" i="1"/>
  <c r="H2399" i="1"/>
  <c r="I2398" i="1"/>
  <c r="H2398" i="1"/>
  <c r="I2397" i="1"/>
  <c r="H2397" i="1"/>
  <c r="I2396" i="1"/>
  <c r="H2396" i="1"/>
  <c r="I2395" i="1"/>
  <c r="H2395" i="1"/>
  <c r="I2394" i="1"/>
  <c r="H2394" i="1"/>
  <c r="I2393" i="1"/>
  <c r="H2393" i="1"/>
  <c r="I2392" i="1"/>
  <c r="H2392" i="1"/>
  <c r="I2391" i="1"/>
  <c r="H2391" i="1"/>
  <c r="I2390" i="1"/>
  <c r="H2390" i="1"/>
  <c r="I2389" i="1"/>
  <c r="H2389" i="1"/>
  <c r="I2388" i="1"/>
  <c r="H2388" i="1"/>
  <c r="I2387" i="1"/>
  <c r="H2387" i="1"/>
  <c r="I2386" i="1"/>
  <c r="H2386" i="1"/>
  <c r="I2385" i="1"/>
  <c r="H2385" i="1"/>
  <c r="I2384" i="1"/>
  <c r="H2384" i="1"/>
  <c r="I2383" i="1"/>
  <c r="H2383" i="1"/>
  <c r="I2382" i="1"/>
  <c r="H2382" i="1"/>
  <c r="I2381" i="1"/>
  <c r="H2381" i="1"/>
  <c r="I2380" i="1"/>
  <c r="H2380" i="1"/>
  <c r="I2379" i="1"/>
  <c r="H2379" i="1"/>
  <c r="I2378" i="1"/>
  <c r="H2378" i="1"/>
  <c r="I2377" i="1"/>
  <c r="H2377" i="1"/>
  <c r="I2376" i="1"/>
  <c r="H2376" i="1"/>
  <c r="I2375" i="1"/>
  <c r="H2375" i="1"/>
  <c r="I2374" i="1"/>
  <c r="H2374" i="1"/>
  <c r="I2373" i="1"/>
  <c r="H2373" i="1"/>
  <c r="I2372" i="1"/>
  <c r="H2372" i="1"/>
  <c r="I2371" i="1"/>
  <c r="H2371" i="1"/>
  <c r="I2370" i="1"/>
  <c r="H2370" i="1"/>
  <c r="I2369" i="1"/>
  <c r="H2369" i="1"/>
  <c r="I2368" i="1"/>
  <c r="H2368" i="1"/>
  <c r="I2367" i="1"/>
  <c r="H2367" i="1"/>
  <c r="I2366" i="1"/>
  <c r="H2366" i="1"/>
  <c r="I2365" i="1"/>
  <c r="H2365" i="1"/>
  <c r="I2364" i="1"/>
  <c r="H2364" i="1"/>
  <c r="I2363" i="1"/>
  <c r="H2363" i="1"/>
  <c r="I2362" i="1"/>
  <c r="H2362" i="1"/>
  <c r="I2361" i="1"/>
  <c r="H2361" i="1"/>
  <c r="I2360" i="1"/>
  <c r="H2360" i="1"/>
  <c r="I2359" i="1"/>
  <c r="H2359" i="1"/>
  <c r="I2358" i="1"/>
  <c r="H2358" i="1"/>
  <c r="I2357" i="1"/>
  <c r="H2357" i="1"/>
  <c r="I2356" i="1"/>
  <c r="H2356" i="1"/>
  <c r="I2355" i="1"/>
  <c r="H2355" i="1"/>
  <c r="I2354" i="1"/>
  <c r="H2354" i="1"/>
  <c r="I2353" i="1"/>
  <c r="H2353" i="1"/>
  <c r="I2352" i="1"/>
  <c r="H2352" i="1"/>
  <c r="I2351" i="1"/>
  <c r="H2351" i="1"/>
  <c r="I2350" i="1"/>
  <c r="H2350" i="1"/>
  <c r="I2349" i="1"/>
  <c r="H2349" i="1"/>
  <c r="I2348" i="1"/>
  <c r="H2348" i="1"/>
  <c r="I2347" i="1"/>
  <c r="H2347" i="1"/>
  <c r="I2346" i="1"/>
  <c r="H2346" i="1"/>
  <c r="I2345" i="1"/>
  <c r="H2345" i="1"/>
  <c r="I2344" i="1"/>
  <c r="H2344" i="1"/>
  <c r="I2343" i="1"/>
  <c r="H2343" i="1"/>
  <c r="I2342" i="1"/>
  <c r="H2342" i="1"/>
  <c r="I2341" i="1"/>
  <c r="H2341" i="1"/>
  <c r="I2340" i="1"/>
  <c r="H2340" i="1"/>
  <c r="I2339" i="1"/>
  <c r="H2339" i="1"/>
  <c r="I2338" i="1"/>
  <c r="H2338" i="1"/>
  <c r="I2337" i="1"/>
  <c r="H2337" i="1"/>
  <c r="I2336" i="1"/>
  <c r="H2336" i="1"/>
  <c r="I2335" i="1"/>
  <c r="H2335" i="1"/>
  <c r="I2334" i="1"/>
  <c r="H2334" i="1"/>
  <c r="I2333" i="1"/>
  <c r="H2333" i="1"/>
  <c r="I2332" i="1"/>
  <c r="H2332" i="1"/>
  <c r="I2331" i="1"/>
  <c r="H2331" i="1"/>
  <c r="I2330" i="1"/>
  <c r="H2330" i="1"/>
  <c r="I2329" i="1"/>
  <c r="H2329" i="1"/>
  <c r="I2328" i="1"/>
  <c r="H2328" i="1"/>
  <c r="I2327" i="1"/>
  <c r="H2327" i="1"/>
  <c r="I2326" i="1"/>
  <c r="H2326" i="1"/>
  <c r="I2325" i="1"/>
  <c r="H2325" i="1"/>
  <c r="I2324" i="1"/>
  <c r="H2324" i="1"/>
  <c r="I2323" i="1"/>
  <c r="H2323" i="1"/>
  <c r="I2322" i="1"/>
  <c r="H2322" i="1"/>
  <c r="I2321" i="1"/>
  <c r="H2321" i="1"/>
  <c r="I2320" i="1"/>
  <c r="H2320" i="1"/>
  <c r="I2319" i="1"/>
  <c r="H2319" i="1"/>
  <c r="I2318" i="1"/>
  <c r="H2318" i="1"/>
  <c r="I2317" i="1"/>
  <c r="H2317" i="1"/>
  <c r="I2316" i="1"/>
  <c r="H2316" i="1"/>
  <c r="I2315" i="1"/>
  <c r="H2315" i="1"/>
  <c r="I2314" i="1"/>
  <c r="H2314" i="1"/>
  <c r="I2313" i="1"/>
  <c r="H2313" i="1"/>
  <c r="I2312" i="1"/>
  <c r="H2312" i="1"/>
  <c r="I2311" i="1"/>
  <c r="H2311" i="1"/>
  <c r="I2310" i="1"/>
  <c r="H2310" i="1"/>
  <c r="I2309" i="1"/>
  <c r="H2309" i="1"/>
  <c r="I2308" i="1"/>
  <c r="H2308" i="1"/>
  <c r="I2307" i="1"/>
  <c r="H2307" i="1"/>
  <c r="I2306" i="1"/>
  <c r="H2306" i="1"/>
  <c r="I2305" i="1"/>
  <c r="H2305" i="1"/>
  <c r="I2304" i="1"/>
  <c r="H2304" i="1"/>
  <c r="I2303" i="1"/>
  <c r="H2303" i="1"/>
  <c r="I2302" i="1"/>
  <c r="H2302" i="1"/>
  <c r="I2301" i="1"/>
  <c r="H2301" i="1"/>
  <c r="I2300" i="1"/>
  <c r="H2300" i="1"/>
  <c r="I2299" i="1"/>
  <c r="H2299" i="1"/>
  <c r="I2298" i="1"/>
  <c r="H2298" i="1"/>
  <c r="I2297" i="1"/>
  <c r="H2297" i="1"/>
  <c r="I2296" i="1"/>
  <c r="H2296" i="1"/>
  <c r="I2295" i="1"/>
  <c r="H2295" i="1"/>
  <c r="I2294" i="1"/>
  <c r="H2294" i="1"/>
  <c r="I2293" i="1"/>
  <c r="H2293" i="1"/>
  <c r="I2292" i="1"/>
  <c r="H2292" i="1"/>
  <c r="I2291" i="1"/>
  <c r="H2291" i="1"/>
  <c r="I2290" i="1"/>
  <c r="H2290" i="1"/>
  <c r="I2289" i="1"/>
  <c r="H2289" i="1"/>
  <c r="I2288" i="1"/>
  <c r="H2288" i="1"/>
  <c r="I2287" i="1"/>
  <c r="H2287" i="1"/>
  <c r="I2286" i="1"/>
  <c r="H2286" i="1"/>
  <c r="I2285" i="1"/>
  <c r="H2285" i="1"/>
  <c r="I2284" i="1"/>
  <c r="H2284" i="1"/>
  <c r="I2283" i="1"/>
  <c r="H2283" i="1"/>
  <c r="I2282" i="1"/>
  <c r="H2282" i="1"/>
  <c r="I2281" i="1"/>
  <c r="H2281" i="1"/>
  <c r="I2280" i="1"/>
  <c r="H2280" i="1"/>
  <c r="I2279" i="1"/>
  <c r="H2279" i="1"/>
  <c r="I2278" i="1"/>
  <c r="H2278" i="1"/>
  <c r="I2277" i="1"/>
  <c r="H2277" i="1"/>
  <c r="I2276" i="1"/>
  <c r="H2276" i="1"/>
  <c r="I2275" i="1"/>
  <c r="H2275" i="1"/>
  <c r="I2274" i="1"/>
  <c r="H2274" i="1"/>
  <c r="I2273" i="1"/>
  <c r="H2273" i="1"/>
  <c r="I2272" i="1"/>
  <c r="H2272" i="1"/>
  <c r="I2271" i="1"/>
  <c r="H2271" i="1"/>
  <c r="I2270" i="1"/>
  <c r="H2270" i="1"/>
  <c r="I2269" i="1"/>
  <c r="H2269" i="1"/>
  <c r="I2268" i="1"/>
  <c r="H2268" i="1"/>
  <c r="I2267" i="1"/>
  <c r="H2267" i="1"/>
  <c r="I2266" i="1"/>
  <c r="H2266" i="1"/>
  <c r="I2265" i="1"/>
  <c r="H2265" i="1"/>
  <c r="I2264" i="1"/>
  <c r="H2264" i="1"/>
  <c r="I2263" i="1"/>
  <c r="H2263" i="1"/>
  <c r="I2262" i="1"/>
  <c r="H2262" i="1"/>
  <c r="I2261" i="1"/>
  <c r="H2261" i="1"/>
  <c r="I2260" i="1"/>
  <c r="H2260" i="1"/>
  <c r="I2259" i="1"/>
  <c r="H2259" i="1"/>
  <c r="I2258" i="1"/>
  <c r="H2258" i="1"/>
  <c r="I2257" i="1"/>
  <c r="H2257" i="1"/>
  <c r="I2256" i="1"/>
  <c r="H2256" i="1"/>
  <c r="I2255" i="1"/>
  <c r="H2255" i="1"/>
  <c r="I2254" i="1"/>
  <c r="H2254" i="1"/>
  <c r="I2253" i="1"/>
  <c r="H2253" i="1"/>
  <c r="I2252" i="1"/>
  <c r="H2252" i="1"/>
  <c r="I2251" i="1"/>
  <c r="H2251" i="1"/>
  <c r="I2250" i="1"/>
  <c r="H2250" i="1"/>
  <c r="I2249" i="1"/>
  <c r="H2249" i="1"/>
  <c r="I2248" i="1"/>
  <c r="H2248" i="1"/>
  <c r="I2247" i="1"/>
  <c r="H2247" i="1"/>
  <c r="I2246" i="1"/>
  <c r="H2246" i="1"/>
  <c r="I2245" i="1"/>
  <c r="H2245" i="1"/>
  <c r="I2244" i="1"/>
  <c r="H2244" i="1"/>
  <c r="I2243" i="1"/>
  <c r="H2243" i="1"/>
  <c r="I2242" i="1"/>
  <c r="H2242" i="1"/>
  <c r="I2241" i="1"/>
  <c r="H2241" i="1"/>
  <c r="I2240" i="1"/>
  <c r="H2240" i="1"/>
  <c r="I2239" i="1"/>
  <c r="H2239" i="1"/>
  <c r="I2238" i="1"/>
  <c r="H2238" i="1"/>
  <c r="I2237" i="1"/>
  <c r="H2237" i="1"/>
  <c r="I2236" i="1"/>
  <c r="H2236" i="1"/>
  <c r="I2235" i="1"/>
  <c r="H2235" i="1"/>
  <c r="I2234" i="1"/>
  <c r="H2234" i="1"/>
  <c r="I2233" i="1"/>
  <c r="H2233" i="1"/>
  <c r="I2232" i="1"/>
  <c r="H2232" i="1"/>
  <c r="I2231" i="1"/>
  <c r="H2231" i="1"/>
  <c r="I2230" i="1"/>
  <c r="H2230" i="1"/>
  <c r="I2229" i="1"/>
  <c r="H2229" i="1"/>
  <c r="I2228" i="1"/>
  <c r="H2228" i="1"/>
  <c r="I2227" i="1"/>
  <c r="H2227" i="1"/>
  <c r="I2226" i="1"/>
  <c r="H2226" i="1"/>
  <c r="I2225" i="1"/>
  <c r="H2225" i="1"/>
  <c r="I2224" i="1"/>
  <c r="H2224" i="1"/>
  <c r="I2223" i="1"/>
  <c r="H2223" i="1"/>
  <c r="I2222" i="1"/>
  <c r="H2222" i="1"/>
  <c r="I2221" i="1"/>
  <c r="H2221" i="1"/>
  <c r="I2220" i="1"/>
  <c r="H2220" i="1"/>
  <c r="I2219" i="1"/>
  <c r="H2219" i="1"/>
  <c r="I2218" i="1"/>
  <c r="H2218" i="1"/>
  <c r="I2217" i="1"/>
  <c r="H2217" i="1"/>
  <c r="I2216" i="1"/>
  <c r="H2216" i="1"/>
  <c r="I2215" i="1"/>
  <c r="H2215" i="1"/>
  <c r="I2214" i="1"/>
  <c r="H2214" i="1"/>
  <c r="I2213" i="1"/>
  <c r="H2213" i="1"/>
  <c r="I2212" i="1"/>
  <c r="H2212" i="1"/>
  <c r="I2211" i="1"/>
  <c r="H2211" i="1"/>
  <c r="I2210" i="1"/>
  <c r="H2210" i="1"/>
  <c r="I2209" i="1"/>
  <c r="H2209" i="1"/>
  <c r="I2208" i="1"/>
  <c r="H2208" i="1"/>
  <c r="I2207" i="1"/>
  <c r="H2207" i="1"/>
  <c r="I2206" i="1"/>
  <c r="H2206" i="1"/>
  <c r="I2205" i="1"/>
  <c r="H2205" i="1"/>
  <c r="I2204" i="1"/>
  <c r="H2204" i="1"/>
  <c r="I2203" i="1"/>
  <c r="H2203" i="1"/>
  <c r="I2202" i="1"/>
  <c r="H2202" i="1"/>
  <c r="I2201" i="1"/>
  <c r="H2201" i="1"/>
  <c r="I2200" i="1"/>
  <c r="H2200" i="1"/>
  <c r="I2199" i="1"/>
  <c r="H2199" i="1"/>
  <c r="I2198" i="1"/>
  <c r="H2198" i="1"/>
  <c r="I2197" i="1"/>
  <c r="H2197" i="1"/>
  <c r="I2196" i="1"/>
  <c r="H2196" i="1"/>
  <c r="I2195" i="1"/>
  <c r="H2195" i="1"/>
  <c r="I2194" i="1"/>
  <c r="H2194" i="1"/>
  <c r="I2193" i="1"/>
  <c r="H2193" i="1"/>
  <c r="I2192" i="1"/>
  <c r="H2192" i="1"/>
  <c r="I2191" i="1"/>
  <c r="H2191" i="1"/>
  <c r="I2190" i="1"/>
  <c r="H2190" i="1"/>
  <c r="I2189" i="1"/>
  <c r="H2189" i="1"/>
  <c r="I2188" i="1"/>
  <c r="H2188" i="1"/>
  <c r="I2187" i="1"/>
  <c r="H2187" i="1"/>
  <c r="I2186" i="1"/>
  <c r="H2186" i="1"/>
  <c r="I2185" i="1"/>
  <c r="H2185" i="1"/>
  <c r="I2184" i="1"/>
  <c r="H2184" i="1"/>
  <c r="I2183" i="1"/>
  <c r="H2183" i="1"/>
  <c r="I2182" i="1"/>
  <c r="H2182" i="1"/>
  <c r="I2181" i="1"/>
  <c r="H2181" i="1"/>
  <c r="I2180" i="1"/>
  <c r="H2180" i="1"/>
  <c r="I2179" i="1"/>
  <c r="H2179" i="1"/>
  <c r="I2178" i="1"/>
  <c r="H2178" i="1"/>
  <c r="I2177" i="1"/>
  <c r="H2177" i="1"/>
  <c r="I2176" i="1"/>
  <c r="H2176" i="1"/>
  <c r="I2175" i="1"/>
  <c r="H2175" i="1"/>
  <c r="I2174" i="1"/>
  <c r="H2174" i="1"/>
  <c r="I2173" i="1"/>
  <c r="H2173" i="1"/>
  <c r="I2172" i="1"/>
  <c r="H2172" i="1"/>
  <c r="I2171" i="1"/>
  <c r="H2171" i="1"/>
  <c r="I2170" i="1"/>
  <c r="H2170" i="1"/>
  <c r="I2169" i="1"/>
  <c r="H2169" i="1"/>
  <c r="I2168" i="1"/>
  <c r="H2168" i="1"/>
  <c r="I2167" i="1"/>
  <c r="H2167" i="1"/>
  <c r="I2166" i="1"/>
  <c r="H2166" i="1"/>
  <c r="I2165" i="1"/>
  <c r="H2165" i="1"/>
  <c r="I2164" i="1"/>
  <c r="H2164" i="1"/>
  <c r="I2163" i="1"/>
  <c r="H2163" i="1"/>
  <c r="I2162" i="1"/>
  <c r="H2162" i="1"/>
  <c r="I2161" i="1"/>
  <c r="H2161" i="1"/>
  <c r="I2160" i="1"/>
  <c r="H2160" i="1"/>
  <c r="I2159" i="1"/>
  <c r="H2159" i="1"/>
  <c r="I2158" i="1"/>
  <c r="H2158" i="1"/>
  <c r="I2157" i="1"/>
  <c r="H2157" i="1"/>
  <c r="I2156" i="1"/>
  <c r="H2156" i="1"/>
  <c r="I2155" i="1"/>
  <c r="H2155" i="1"/>
  <c r="I2154" i="1"/>
  <c r="H2154" i="1"/>
  <c r="I2153" i="1"/>
  <c r="H2153" i="1"/>
  <c r="I2152" i="1"/>
  <c r="H2152" i="1"/>
  <c r="I2151" i="1"/>
  <c r="H2151" i="1"/>
  <c r="I2150" i="1"/>
  <c r="H2150" i="1"/>
  <c r="I2149" i="1"/>
  <c r="H2149" i="1"/>
  <c r="I2148" i="1"/>
  <c r="H2148" i="1"/>
  <c r="I2147" i="1"/>
  <c r="H2147" i="1"/>
  <c r="I2146" i="1"/>
  <c r="H2146" i="1"/>
  <c r="I2145" i="1"/>
  <c r="H2145" i="1"/>
  <c r="I2144" i="1"/>
  <c r="H2144" i="1"/>
  <c r="I2143" i="1"/>
  <c r="H2143" i="1"/>
  <c r="I2142" i="1"/>
  <c r="H2142" i="1"/>
  <c r="I2141" i="1"/>
  <c r="H2141" i="1"/>
  <c r="I2140" i="1"/>
  <c r="H2140" i="1"/>
  <c r="I2139" i="1"/>
  <c r="H2139" i="1"/>
  <c r="I2138" i="1"/>
  <c r="H2138" i="1"/>
  <c r="I2137" i="1"/>
  <c r="H2137" i="1"/>
  <c r="I2136" i="1"/>
  <c r="H2136" i="1"/>
  <c r="I2135" i="1"/>
  <c r="H2135" i="1"/>
  <c r="I2134" i="1"/>
  <c r="H2134" i="1"/>
  <c r="I2133" i="1"/>
  <c r="H2133" i="1"/>
  <c r="I2132" i="1"/>
  <c r="H2132" i="1"/>
  <c r="I2131" i="1"/>
  <c r="H2131" i="1"/>
  <c r="I2130" i="1"/>
  <c r="H2130" i="1"/>
  <c r="I2129" i="1"/>
  <c r="H2129" i="1"/>
  <c r="I2128" i="1"/>
  <c r="H2128" i="1"/>
  <c r="I2127" i="1"/>
  <c r="H2127" i="1"/>
  <c r="I2126" i="1"/>
  <c r="H2126" i="1"/>
  <c r="I2125" i="1"/>
  <c r="H2125" i="1"/>
  <c r="I2124" i="1"/>
  <c r="H2124" i="1"/>
  <c r="I2123" i="1"/>
  <c r="H2123" i="1"/>
  <c r="I2122" i="1"/>
  <c r="H2122" i="1"/>
  <c r="I2121" i="1"/>
  <c r="H2121" i="1"/>
  <c r="I2120" i="1"/>
  <c r="H2120" i="1"/>
  <c r="I2119" i="1"/>
  <c r="H2119" i="1"/>
  <c r="I2118" i="1"/>
  <c r="H2118" i="1"/>
  <c r="I2117" i="1"/>
  <c r="H2117" i="1"/>
  <c r="I2116" i="1"/>
  <c r="H2116" i="1"/>
  <c r="I2115" i="1"/>
  <c r="H2115" i="1"/>
  <c r="I2114" i="1"/>
  <c r="H2114" i="1"/>
  <c r="I2113" i="1"/>
  <c r="H2113" i="1"/>
  <c r="I2112" i="1"/>
  <c r="H2112" i="1"/>
  <c r="I2111" i="1"/>
  <c r="H2111" i="1"/>
  <c r="I2110" i="1"/>
  <c r="H2110" i="1"/>
  <c r="I2109" i="1"/>
  <c r="H2109" i="1"/>
  <c r="I2108" i="1"/>
  <c r="H2108" i="1"/>
  <c r="I2107" i="1"/>
  <c r="H2107" i="1"/>
  <c r="I2106" i="1"/>
  <c r="H2106" i="1"/>
  <c r="I2105" i="1"/>
  <c r="H2105" i="1"/>
  <c r="I2104" i="1"/>
  <c r="H2104" i="1"/>
  <c r="I2103" i="1"/>
  <c r="H2103" i="1"/>
  <c r="I2102" i="1"/>
  <c r="H2102" i="1"/>
  <c r="I2101" i="1"/>
  <c r="H2101" i="1"/>
  <c r="I2100" i="1"/>
  <c r="H2100" i="1"/>
  <c r="I2099" i="1"/>
  <c r="H2099" i="1"/>
  <c r="I2098" i="1"/>
  <c r="H2098" i="1"/>
  <c r="I2097" i="1"/>
  <c r="H2097" i="1"/>
  <c r="I2096" i="1"/>
  <c r="H2096" i="1"/>
  <c r="I2095" i="1"/>
  <c r="H2095" i="1"/>
  <c r="I2094" i="1"/>
  <c r="H2094" i="1"/>
  <c r="I2093" i="1"/>
  <c r="H2093" i="1"/>
  <c r="I2092" i="1"/>
  <c r="H2092" i="1"/>
  <c r="I2091" i="1"/>
  <c r="H2091" i="1"/>
  <c r="I2090" i="1"/>
  <c r="H2090" i="1"/>
  <c r="I2089" i="1"/>
  <c r="H2089" i="1"/>
  <c r="I2088" i="1"/>
  <c r="H2088" i="1"/>
  <c r="I2087" i="1"/>
  <c r="H2087" i="1"/>
  <c r="I2086" i="1"/>
  <c r="H2086" i="1"/>
  <c r="I2085" i="1"/>
  <c r="H2085" i="1"/>
  <c r="I2084" i="1"/>
  <c r="H2084" i="1"/>
  <c r="I2083" i="1"/>
  <c r="H2083" i="1"/>
  <c r="I2082" i="1"/>
  <c r="H2082" i="1"/>
  <c r="I2081" i="1"/>
  <c r="H2081" i="1"/>
  <c r="I2080" i="1"/>
  <c r="H2080" i="1"/>
  <c r="I2079" i="1"/>
  <c r="H2079" i="1"/>
  <c r="I2078" i="1"/>
  <c r="H2078" i="1"/>
  <c r="I2077" i="1"/>
  <c r="H2077" i="1"/>
  <c r="I2076" i="1"/>
  <c r="H2076" i="1"/>
  <c r="I2075" i="1"/>
  <c r="H2075" i="1"/>
  <c r="I2074" i="1"/>
  <c r="H2074" i="1"/>
  <c r="I2073" i="1"/>
  <c r="H2073" i="1"/>
  <c r="I2072" i="1"/>
  <c r="H2072" i="1"/>
  <c r="I2071" i="1"/>
  <c r="H2071" i="1"/>
  <c r="I2070" i="1"/>
  <c r="H2070" i="1"/>
  <c r="I2069" i="1"/>
  <c r="H2069" i="1"/>
  <c r="I2068" i="1"/>
  <c r="H2068" i="1"/>
  <c r="I2067" i="1"/>
  <c r="H2067" i="1"/>
  <c r="I2066" i="1"/>
  <c r="H2066" i="1"/>
  <c r="I2065" i="1"/>
  <c r="H2065" i="1"/>
  <c r="I2064" i="1"/>
  <c r="H2064" i="1"/>
  <c r="I2063" i="1"/>
  <c r="H2063" i="1"/>
  <c r="I2062" i="1"/>
  <c r="H2062" i="1"/>
  <c r="I2061" i="1"/>
  <c r="H2061" i="1"/>
  <c r="I2060" i="1"/>
  <c r="H2060" i="1"/>
  <c r="I2059" i="1"/>
  <c r="H2059" i="1"/>
  <c r="I2058" i="1"/>
  <c r="H2058" i="1"/>
  <c r="I2057" i="1"/>
  <c r="H2057" i="1"/>
  <c r="I2056" i="1"/>
  <c r="H2056" i="1"/>
  <c r="I2055" i="1"/>
  <c r="H2055" i="1"/>
  <c r="I2054" i="1"/>
  <c r="H2054" i="1"/>
  <c r="I2053" i="1"/>
  <c r="H2053" i="1"/>
  <c r="I2052" i="1"/>
  <c r="H2052" i="1"/>
  <c r="I2051" i="1"/>
  <c r="H2051" i="1"/>
  <c r="I2050" i="1"/>
  <c r="H2050" i="1"/>
  <c r="I2049" i="1"/>
  <c r="H2049" i="1"/>
  <c r="I2048" i="1"/>
  <c r="H2048" i="1"/>
  <c r="I2047" i="1"/>
  <c r="H2047" i="1"/>
  <c r="I2046" i="1"/>
  <c r="H2046" i="1"/>
  <c r="I2045" i="1"/>
  <c r="H2045" i="1"/>
  <c r="I2044" i="1"/>
  <c r="H2044" i="1"/>
  <c r="I2043" i="1"/>
  <c r="H2043" i="1"/>
  <c r="I2042" i="1"/>
  <c r="H2042" i="1"/>
  <c r="I2041" i="1"/>
  <c r="H2041" i="1"/>
  <c r="I2040" i="1"/>
  <c r="H2040" i="1"/>
  <c r="I2039" i="1"/>
  <c r="H2039" i="1"/>
  <c r="I2038" i="1"/>
  <c r="H2038" i="1"/>
  <c r="I2037" i="1"/>
  <c r="H2037" i="1"/>
  <c r="I2036" i="1"/>
  <c r="H2036" i="1"/>
  <c r="I2035" i="1"/>
  <c r="H2035" i="1"/>
  <c r="I2034" i="1"/>
  <c r="H2034" i="1"/>
  <c r="I2033" i="1"/>
  <c r="H2033" i="1"/>
  <c r="I2032" i="1"/>
  <c r="H2032" i="1"/>
  <c r="I2031" i="1"/>
  <c r="H2031" i="1"/>
  <c r="I2030" i="1"/>
  <c r="H2030" i="1"/>
  <c r="I2029" i="1"/>
  <c r="H2029" i="1"/>
  <c r="I2028" i="1"/>
  <c r="H2028" i="1"/>
  <c r="I2027" i="1"/>
  <c r="H2027" i="1"/>
  <c r="I2026" i="1"/>
  <c r="H2026" i="1"/>
  <c r="I2025" i="1"/>
  <c r="H2025" i="1"/>
  <c r="I2024" i="1"/>
  <c r="H2024" i="1"/>
  <c r="I2023" i="1"/>
  <c r="H2023" i="1"/>
  <c r="I2022" i="1"/>
  <c r="H2022" i="1"/>
  <c r="I2021" i="1"/>
  <c r="H2021" i="1"/>
  <c r="I2020" i="1"/>
  <c r="H2020" i="1"/>
  <c r="I2019" i="1"/>
  <c r="H2019" i="1"/>
  <c r="I2018" i="1"/>
  <c r="H2018" i="1"/>
  <c r="I2017" i="1"/>
  <c r="H2017" i="1"/>
  <c r="I2016" i="1"/>
  <c r="H2016" i="1"/>
  <c r="I2015" i="1"/>
  <c r="H2015" i="1"/>
  <c r="I2014" i="1"/>
  <c r="H2014" i="1"/>
  <c r="I2013" i="1"/>
  <c r="H2013" i="1"/>
  <c r="I2012" i="1"/>
  <c r="H2012" i="1"/>
  <c r="I2011" i="1"/>
  <c r="H2011" i="1"/>
  <c r="I2010" i="1"/>
  <c r="H2010" i="1"/>
  <c r="I2009" i="1"/>
  <c r="H2009" i="1"/>
  <c r="I2008" i="1"/>
  <c r="H2008" i="1"/>
  <c r="I2007" i="1"/>
  <c r="H2007" i="1"/>
  <c r="I2006" i="1"/>
  <c r="H2006" i="1"/>
  <c r="I2005" i="1"/>
  <c r="H2005" i="1"/>
  <c r="I2004" i="1"/>
  <c r="H2004" i="1"/>
  <c r="I2003" i="1"/>
  <c r="H2003" i="1"/>
  <c r="I2002" i="1"/>
  <c r="H2002" i="1"/>
  <c r="I2001" i="1"/>
  <c r="H2001" i="1"/>
  <c r="I2000" i="1"/>
  <c r="H2000" i="1"/>
  <c r="I1999" i="1"/>
  <c r="H1999" i="1"/>
  <c r="I1998" i="1"/>
  <c r="H1998" i="1"/>
  <c r="I1997" i="1"/>
  <c r="H1997" i="1"/>
  <c r="I1996" i="1"/>
  <c r="H1996" i="1"/>
  <c r="I1995" i="1"/>
  <c r="H1995" i="1"/>
  <c r="I1994" i="1"/>
  <c r="H1994" i="1"/>
  <c r="I1993" i="1"/>
  <c r="H1993" i="1"/>
  <c r="I1992" i="1"/>
  <c r="H1992" i="1"/>
  <c r="I1991" i="1"/>
  <c r="H1991" i="1"/>
  <c r="I1990" i="1"/>
  <c r="H1990" i="1"/>
  <c r="I1989" i="1"/>
  <c r="H1989" i="1"/>
  <c r="I1988" i="1"/>
  <c r="H1988" i="1"/>
  <c r="I1987" i="1"/>
  <c r="H1987" i="1"/>
  <c r="I1986" i="1"/>
  <c r="H1986" i="1"/>
  <c r="I1985" i="1"/>
  <c r="H1985" i="1"/>
  <c r="I1984" i="1"/>
  <c r="H1984" i="1"/>
  <c r="I1983" i="1"/>
  <c r="H1983" i="1"/>
  <c r="I1982" i="1"/>
  <c r="H1982" i="1"/>
  <c r="I1981" i="1"/>
  <c r="H1981" i="1"/>
  <c r="I1980" i="1"/>
  <c r="H1980" i="1"/>
  <c r="I1979" i="1"/>
  <c r="H1979" i="1"/>
  <c r="I1978" i="1"/>
  <c r="H1978" i="1"/>
  <c r="I1977" i="1"/>
  <c r="H1977" i="1"/>
  <c r="I1976" i="1"/>
  <c r="H1976" i="1"/>
  <c r="I1975" i="1"/>
  <c r="H1975" i="1"/>
  <c r="I1974" i="1"/>
  <c r="H1974" i="1"/>
  <c r="I1973" i="1"/>
  <c r="H1973" i="1"/>
  <c r="I1972" i="1"/>
  <c r="H1972" i="1"/>
  <c r="I1971" i="1"/>
  <c r="H1971" i="1"/>
  <c r="I1970" i="1"/>
  <c r="H1970" i="1"/>
  <c r="I1969" i="1"/>
  <c r="H1969" i="1"/>
  <c r="I1968" i="1"/>
  <c r="H1968" i="1"/>
  <c r="I1967" i="1"/>
  <c r="H1967" i="1"/>
  <c r="I1966" i="1"/>
  <c r="H1966" i="1"/>
  <c r="I1965" i="1"/>
  <c r="H1965" i="1"/>
  <c r="I1964" i="1"/>
  <c r="H1964" i="1"/>
  <c r="I1963" i="1"/>
  <c r="H1963" i="1"/>
  <c r="I1962" i="1"/>
  <c r="H1962" i="1"/>
  <c r="I1961" i="1"/>
  <c r="H1961" i="1"/>
  <c r="I1960" i="1"/>
  <c r="H1960" i="1"/>
  <c r="I1959" i="1"/>
  <c r="H1959" i="1"/>
  <c r="I1958" i="1"/>
  <c r="H1958" i="1"/>
  <c r="I1957" i="1"/>
  <c r="H1957" i="1"/>
  <c r="I1956" i="1"/>
  <c r="H1956" i="1"/>
  <c r="I1955" i="1"/>
  <c r="H1955" i="1"/>
  <c r="I1954" i="1"/>
  <c r="H1954" i="1"/>
  <c r="I1953" i="1"/>
  <c r="H1953" i="1"/>
  <c r="I1952" i="1"/>
  <c r="H1952" i="1"/>
  <c r="I1951" i="1"/>
  <c r="H1951" i="1"/>
  <c r="I1950" i="1"/>
  <c r="H1950" i="1"/>
  <c r="I1949" i="1"/>
  <c r="H1949" i="1"/>
  <c r="I1948" i="1"/>
  <c r="H1948" i="1"/>
  <c r="I1947" i="1"/>
  <c r="H1947" i="1"/>
  <c r="I1946" i="1"/>
  <c r="H1946" i="1"/>
  <c r="I1945" i="1"/>
  <c r="H1945" i="1"/>
  <c r="I1944" i="1"/>
  <c r="H1944" i="1"/>
  <c r="I1943" i="1"/>
  <c r="H1943" i="1"/>
  <c r="I1942" i="1"/>
  <c r="H1942" i="1"/>
  <c r="I1941" i="1"/>
  <c r="H1941" i="1"/>
  <c r="I1940" i="1"/>
  <c r="H1940" i="1"/>
  <c r="I1939" i="1"/>
  <c r="H1939" i="1"/>
  <c r="I1938" i="1"/>
  <c r="H1938" i="1"/>
  <c r="I1937" i="1"/>
  <c r="H1937" i="1"/>
  <c r="I1936" i="1"/>
  <c r="H1936" i="1"/>
  <c r="I1935" i="1"/>
  <c r="H1935" i="1"/>
  <c r="I1934" i="1"/>
  <c r="H1934" i="1"/>
  <c r="I1933" i="1"/>
  <c r="H1933" i="1"/>
  <c r="I1932" i="1"/>
  <c r="H1932" i="1"/>
  <c r="I1931" i="1"/>
  <c r="H1931" i="1"/>
  <c r="I1930" i="1"/>
  <c r="H1930" i="1"/>
  <c r="I1929" i="1"/>
  <c r="H1929" i="1"/>
  <c r="I1928" i="1"/>
  <c r="H1928" i="1"/>
  <c r="I1927" i="1"/>
  <c r="H1927" i="1"/>
  <c r="I1926" i="1"/>
  <c r="H1926" i="1"/>
  <c r="I1925" i="1"/>
  <c r="H1925" i="1"/>
  <c r="I1924" i="1"/>
  <c r="H1924" i="1"/>
  <c r="I1923" i="1"/>
  <c r="H1923" i="1"/>
  <c r="I1922" i="1"/>
  <c r="H1922" i="1"/>
  <c r="I1921" i="1"/>
  <c r="H1921" i="1"/>
  <c r="I1920" i="1"/>
  <c r="H1920" i="1"/>
  <c r="I1919" i="1"/>
  <c r="H1919" i="1"/>
  <c r="I1918" i="1"/>
  <c r="H1918" i="1"/>
  <c r="I1917" i="1"/>
  <c r="H1917" i="1"/>
  <c r="I1916" i="1"/>
  <c r="H1916" i="1"/>
  <c r="I1915" i="1"/>
  <c r="H1915" i="1"/>
  <c r="I1914" i="1"/>
  <c r="H1914" i="1"/>
  <c r="I1913" i="1"/>
  <c r="H1913" i="1"/>
  <c r="I1912" i="1"/>
  <c r="H1912" i="1"/>
  <c r="I1911" i="1"/>
  <c r="H1911" i="1"/>
  <c r="I1910" i="1"/>
  <c r="H1910" i="1"/>
  <c r="I1909" i="1"/>
  <c r="H1909" i="1"/>
  <c r="I1908" i="1"/>
  <c r="H1908" i="1"/>
  <c r="I1907" i="1"/>
  <c r="H1907" i="1"/>
  <c r="I1906" i="1"/>
  <c r="H1906" i="1"/>
  <c r="I1905" i="1"/>
  <c r="H1905" i="1"/>
  <c r="I1904" i="1"/>
  <c r="H1904" i="1"/>
  <c r="I1903" i="1"/>
  <c r="H1903" i="1"/>
  <c r="I1902" i="1"/>
  <c r="H1902" i="1"/>
  <c r="I1901" i="1"/>
  <c r="H1901" i="1"/>
  <c r="I1900" i="1"/>
  <c r="H1900" i="1"/>
  <c r="I1899" i="1"/>
  <c r="H1899" i="1"/>
  <c r="I1898" i="1"/>
  <c r="H1898" i="1"/>
  <c r="I1897" i="1"/>
  <c r="H1897" i="1"/>
  <c r="I1896" i="1"/>
  <c r="H1896" i="1"/>
  <c r="I1895" i="1"/>
  <c r="H1895" i="1"/>
  <c r="I1894" i="1"/>
  <c r="H1894" i="1"/>
  <c r="I1893" i="1"/>
  <c r="H1893" i="1"/>
  <c r="I1892" i="1"/>
  <c r="H1892" i="1"/>
  <c r="I1891" i="1"/>
  <c r="H1891" i="1"/>
  <c r="I1890" i="1"/>
  <c r="H1890" i="1"/>
  <c r="I1889" i="1"/>
  <c r="H1889" i="1"/>
  <c r="I1888" i="1"/>
  <c r="H1888" i="1"/>
  <c r="I1887" i="1"/>
  <c r="H1887" i="1"/>
  <c r="I1886" i="1"/>
  <c r="H1886" i="1"/>
  <c r="I1885" i="1"/>
  <c r="H1885" i="1"/>
  <c r="I1884" i="1"/>
  <c r="H1884" i="1"/>
  <c r="I1883" i="1"/>
  <c r="H1883" i="1"/>
  <c r="I1882" i="1"/>
  <c r="H1882" i="1"/>
  <c r="I1881" i="1"/>
  <c r="H1881" i="1"/>
  <c r="I1880" i="1"/>
  <c r="H1880" i="1"/>
  <c r="I1879" i="1"/>
  <c r="H1879" i="1"/>
  <c r="I1878" i="1"/>
  <c r="H1878" i="1"/>
  <c r="I1877" i="1"/>
  <c r="H1877" i="1"/>
  <c r="I1876" i="1"/>
  <c r="H1876" i="1"/>
  <c r="I1875" i="1"/>
  <c r="H1875" i="1"/>
  <c r="I1874" i="1"/>
  <c r="H1874" i="1"/>
  <c r="I1873" i="1"/>
  <c r="H1873" i="1"/>
  <c r="I1872" i="1"/>
  <c r="H1872" i="1"/>
  <c r="I1871" i="1"/>
  <c r="H1871" i="1"/>
  <c r="I1870" i="1"/>
  <c r="H1870" i="1"/>
  <c r="I1869" i="1"/>
  <c r="H1869" i="1"/>
  <c r="I1868" i="1"/>
  <c r="H1868" i="1"/>
  <c r="I1867" i="1"/>
  <c r="H1867" i="1"/>
  <c r="I1866" i="1"/>
  <c r="H1866" i="1"/>
  <c r="I1865" i="1"/>
  <c r="H1865" i="1"/>
  <c r="I1864" i="1"/>
  <c r="H1864" i="1"/>
  <c r="I1863" i="1"/>
  <c r="H1863" i="1"/>
  <c r="I1862" i="1"/>
  <c r="H1862" i="1"/>
  <c r="I1861" i="1"/>
  <c r="H1861" i="1"/>
  <c r="I1860" i="1"/>
  <c r="H1860" i="1"/>
  <c r="I1859" i="1"/>
  <c r="H1859" i="1"/>
  <c r="I1858" i="1"/>
  <c r="H1858" i="1"/>
  <c r="I1857" i="1"/>
  <c r="H1857" i="1"/>
  <c r="I1856" i="1"/>
  <c r="H1856" i="1"/>
  <c r="I1855" i="1"/>
  <c r="H1855" i="1"/>
  <c r="I1854" i="1"/>
  <c r="H1854" i="1"/>
  <c r="I1853" i="1"/>
  <c r="H1853" i="1"/>
  <c r="I1852" i="1"/>
  <c r="H1852" i="1"/>
  <c r="I1851" i="1"/>
  <c r="H1851" i="1"/>
  <c r="I1850" i="1"/>
  <c r="H1850" i="1"/>
  <c r="I1849" i="1"/>
  <c r="H1849" i="1"/>
  <c r="I1848" i="1"/>
  <c r="H1848" i="1"/>
  <c r="I1847" i="1"/>
  <c r="H1847" i="1"/>
  <c r="I1846" i="1"/>
  <c r="H1846" i="1"/>
  <c r="I1845" i="1"/>
  <c r="H1845" i="1"/>
  <c r="I1844" i="1"/>
  <c r="H1844" i="1"/>
  <c r="I1843" i="1"/>
  <c r="H1843" i="1"/>
  <c r="I1842" i="1"/>
  <c r="H1842" i="1"/>
  <c r="I1841" i="1"/>
  <c r="H1841" i="1"/>
  <c r="I1840" i="1"/>
  <c r="H1840" i="1"/>
  <c r="I1839" i="1"/>
  <c r="H1839" i="1"/>
  <c r="I1838" i="1"/>
  <c r="H1838" i="1"/>
  <c r="I1837" i="1"/>
  <c r="H1837" i="1"/>
  <c r="I1836" i="1"/>
  <c r="H1836" i="1"/>
  <c r="I1835" i="1"/>
  <c r="H1835" i="1"/>
  <c r="I1834" i="1"/>
  <c r="H1834" i="1"/>
  <c r="I1833" i="1"/>
  <c r="H1833" i="1"/>
  <c r="I1832" i="1"/>
  <c r="H1832" i="1"/>
  <c r="I1831" i="1"/>
  <c r="H1831" i="1"/>
  <c r="I1830" i="1"/>
  <c r="H1830" i="1"/>
  <c r="I1829" i="1"/>
  <c r="H1829" i="1"/>
  <c r="I1828" i="1"/>
  <c r="H1828" i="1"/>
  <c r="I1827" i="1"/>
  <c r="H1827" i="1"/>
  <c r="I1826" i="1"/>
  <c r="H1826" i="1"/>
  <c r="I1825" i="1"/>
  <c r="H1825" i="1"/>
  <c r="I1824" i="1"/>
  <c r="H1824" i="1"/>
  <c r="I1823" i="1"/>
  <c r="H1823" i="1"/>
  <c r="I1822" i="1"/>
  <c r="H1822" i="1"/>
  <c r="I1821" i="1"/>
  <c r="H1821" i="1"/>
  <c r="I1820" i="1"/>
  <c r="H1820" i="1"/>
  <c r="I1819" i="1"/>
  <c r="H1819" i="1"/>
  <c r="I1818" i="1"/>
  <c r="H1818" i="1"/>
  <c r="I1817" i="1"/>
  <c r="H1817" i="1"/>
  <c r="I1816" i="1"/>
  <c r="H1816" i="1"/>
  <c r="I1815" i="1"/>
  <c r="H1815" i="1"/>
  <c r="I1814" i="1"/>
  <c r="H1814" i="1"/>
  <c r="I1813" i="1"/>
  <c r="H1813" i="1"/>
  <c r="I1812" i="1"/>
  <c r="H1812" i="1"/>
  <c r="I1811" i="1"/>
  <c r="H1811" i="1"/>
  <c r="I1810" i="1"/>
  <c r="H1810" i="1"/>
  <c r="I1809" i="1"/>
  <c r="H1809" i="1"/>
  <c r="I1808" i="1"/>
  <c r="H1808" i="1"/>
  <c r="I1807" i="1"/>
  <c r="H1807" i="1"/>
  <c r="I1806" i="1"/>
  <c r="H1806" i="1"/>
  <c r="I1805" i="1"/>
  <c r="H1805" i="1"/>
  <c r="I1804" i="1"/>
  <c r="H1804" i="1"/>
  <c r="I1803" i="1"/>
  <c r="H1803" i="1"/>
  <c r="I1802" i="1"/>
  <c r="H1802" i="1"/>
  <c r="I1801" i="1"/>
  <c r="H1801" i="1"/>
  <c r="I1800" i="1"/>
  <c r="H1800" i="1"/>
  <c r="I1799" i="1"/>
  <c r="H1799" i="1"/>
  <c r="I1798" i="1"/>
  <c r="H1798" i="1"/>
  <c r="I1797" i="1"/>
  <c r="H1797" i="1"/>
  <c r="I1796" i="1"/>
  <c r="H1796" i="1"/>
  <c r="I1795" i="1"/>
  <c r="H1795" i="1"/>
  <c r="I1794" i="1"/>
  <c r="H1794" i="1"/>
  <c r="I1793" i="1"/>
  <c r="H1793" i="1"/>
  <c r="I1792" i="1"/>
  <c r="H1792" i="1"/>
  <c r="I1791" i="1"/>
  <c r="H1791" i="1"/>
  <c r="I1790" i="1"/>
  <c r="H1790" i="1"/>
  <c r="I1789" i="1"/>
  <c r="H1789" i="1"/>
  <c r="I1788" i="1"/>
  <c r="H1788" i="1"/>
  <c r="I1787" i="1"/>
  <c r="H1787" i="1"/>
  <c r="I1786" i="1"/>
  <c r="H1786" i="1"/>
  <c r="I1785" i="1"/>
  <c r="H1785" i="1"/>
  <c r="I1784" i="1"/>
  <c r="H1784" i="1"/>
  <c r="I1783" i="1"/>
  <c r="H1783" i="1"/>
  <c r="I1782" i="1"/>
  <c r="H1782" i="1"/>
  <c r="I1781" i="1"/>
  <c r="H1781" i="1"/>
  <c r="I1780" i="1"/>
  <c r="H1780" i="1"/>
  <c r="I1779" i="1"/>
  <c r="H1779" i="1"/>
  <c r="I1778" i="1"/>
  <c r="H1778" i="1"/>
  <c r="I1777" i="1"/>
  <c r="H1777" i="1"/>
  <c r="I1776" i="1"/>
  <c r="H1776" i="1"/>
  <c r="I1775" i="1"/>
  <c r="H1775" i="1"/>
  <c r="I1774" i="1"/>
  <c r="H1774" i="1"/>
  <c r="I1773" i="1"/>
  <c r="H1773" i="1"/>
  <c r="I1772" i="1"/>
  <c r="H1772" i="1"/>
  <c r="I1771" i="1"/>
  <c r="H1771" i="1"/>
  <c r="I1770" i="1"/>
  <c r="H1770" i="1"/>
  <c r="I1769" i="1"/>
  <c r="H1769" i="1"/>
  <c r="I1768" i="1"/>
  <c r="H1768" i="1"/>
  <c r="I1767" i="1"/>
  <c r="H1767" i="1"/>
  <c r="I1766" i="1"/>
  <c r="H1766" i="1"/>
  <c r="I1765" i="1"/>
  <c r="H1765" i="1"/>
  <c r="I1764" i="1"/>
  <c r="H1764" i="1"/>
  <c r="I1763" i="1"/>
  <c r="H1763" i="1"/>
  <c r="I1762" i="1"/>
  <c r="H1762" i="1"/>
  <c r="I1761" i="1"/>
  <c r="H1761" i="1"/>
  <c r="I1760" i="1"/>
  <c r="H1760" i="1"/>
  <c r="I1759" i="1"/>
  <c r="H1759" i="1"/>
  <c r="I1758" i="1"/>
  <c r="H1758" i="1"/>
  <c r="I1757" i="1"/>
  <c r="H1757" i="1"/>
  <c r="I1756" i="1"/>
  <c r="H1756" i="1"/>
  <c r="I1755" i="1"/>
  <c r="H1755" i="1"/>
  <c r="I1754" i="1"/>
  <c r="H1754" i="1"/>
  <c r="I1753" i="1"/>
  <c r="H1753" i="1"/>
  <c r="I1752" i="1"/>
  <c r="H1752" i="1"/>
  <c r="I1751" i="1"/>
  <c r="H1751" i="1"/>
  <c r="I1750" i="1"/>
  <c r="H1750" i="1"/>
  <c r="I1749" i="1"/>
  <c r="H1749" i="1"/>
  <c r="I1748" i="1"/>
  <c r="H1748" i="1"/>
  <c r="I1747" i="1"/>
  <c r="H1747" i="1"/>
  <c r="I1746" i="1"/>
  <c r="H1746" i="1"/>
  <c r="I1745" i="1"/>
  <c r="H1745" i="1"/>
  <c r="I1744" i="1"/>
  <c r="H1744" i="1"/>
  <c r="I1743" i="1"/>
  <c r="H1743" i="1"/>
  <c r="I1742" i="1"/>
  <c r="H1742" i="1"/>
  <c r="I1741" i="1"/>
  <c r="H1741" i="1"/>
  <c r="I1740" i="1"/>
  <c r="H1740" i="1"/>
  <c r="I1739" i="1"/>
  <c r="H1739" i="1"/>
  <c r="I1738" i="1"/>
  <c r="H1738" i="1"/>
  <c r="I1737" i="1"/>
  <c r="H1737" i="1"/>
  <c r="I1736" i="1"/>
  <c r="H1736" i="1"/>
  <c r="I1735" i="1"/>
  <c r="H1735" i="1"/>
  <c r="I1734" i="1"/>
  <c r="H1734" i="1"/>
  <c r="I1733" i="1"/>
  <c r="H1733" i="1"/>
  <c r="I1732" i="1"/>
  <c r="H1732" i="1"/>
  <c r="I1731" i="1"/>
  <c r="H1731" i="1"/>
  <c r="I1730" i="1"/>
  <c r="H1730" i="1"/>
  <c r="I1729" i="1"/>
  <c r="H1729" i="1"/>
  <c r="I1728" i="1"/>
  <c r="H1728" i="1"/>
  <c r="I1727" i="1"/>
  <c r="H1727" i="1"/>
  <c r="I1726" i="1"/>
  <c r="H1726" i="1"/>
  <c r="I1725" i="1"/>
  <c r="H1725" i="1"/>
  <c r="I1724" i="1"/>
  <c r="H1724" i="1"/>
  <c r="I1723" i="1"/>
  <c r="H1723" i="1"/>
  <c r="I1722" i="1"/>
  <c r="H1722" i="1"/>
  <c r="I1721" i="1"/>
  <c r="H1721" i="1"/>
  <c r="I1720" i="1"/>
  <c r="H1720" i="1"/>
  <c r="I1719" i="1"/>
  <c r="H1719" i="1"/>
  <c r="I1718" i="1"/>
  <c r="H1718" i="1"/>
  <c r="I1717" i="1"/>
  <c r="H1717" i="1"/>
  <c r="I1716" i="1"/>
  <c r="H1716" i="1"/>
  <c r="I1715" i="1"/>
  <c r="H1715" i="1"/>
  <c r="I1714" i="1"/>
  <c r="H1714" i="1"/>
  <c r="I1713" i="1"/>
  <c r="H1713" i="1"/>
  <c r="I1712" i="1"/>
  <c r="H1712" i="1"/>
  <c r="I1711" i="1"/>
  <c r="H1711" i="1"/>
  <c r="I1710" i="1"/>
  <c r="H1710" i="1"/>
  <c r="I1709" i="1"/>
  <c r="H1709" i="1"/>
  <c r="I1708" i="1"/>
  <c r="H1708" i="1"/>
  <c r="I1707" i="1"/>
  <c r="H1707" i="1"/>
  <c r="I1706" i="1"/>
  <c r="H1706" i="1"/>
  <c r="I1705" i="1"/>
  <c r="H1705" i="1"/>
  <c r="I1704" i="1"/>
  <c r="H1704" i="1"/>
  <c r="I1703" i="1"/>
  <c r="H1703" i="1"/>
  <c r="I1702" i="1"/>
  <c r="H1702" i="1"/>
  <c r="I1701" i="1"/>
  <c r="H1701" i="1"/>
  <c r="I1700" i="1"/>
  <c r="H1700" i="1"/>
  <c r="I1699" i="1"/>
  <c r="H1699" i="1"/>
  <c r="I1698" i="1"/>
  <c r="H1698" i="1"/>
  <c r="I1697" i="1"/>
  <c r="H1697" i="1"/>
  <c r="I1696" i="1"/>
  <c r="H1696" i="1"/>
  <c r="I1695" i="1"/>
  <c r="H1695" i="1"/>
  <c r="I1694" i="1"/>
  <c r="H1694" i="1"/>
  <c r="I1693" i="1"/>
  <c r="H1693" i="1"/>
  <c r="I1692" i="1"/>
  <c r="H1692" i="1"/>
  <c r="I1691" i="1"/>
  <c r="H1691" i="1"/>
  <c r="I1690" i="1"/>
  <c r="H1690" i="1"/>
  <c r="I1689" i="1"/>
  <c r="H1689" i="1"/>
  <c r="I1688" i="1"/>
  <c r="H1688" i="1"/>
  <c r="I1687" i="1"/>
  <c r="H1687" i="1"/>
  <c r="I1686" i="1"/>
  <c r="H1686" i="1"/>
  <c r="I1685" i="1"/>
  <c r="H1685" i="1"/>
  <c r="I1684" i="1"/>
  <c r="H1684" i="1"/>
  <c r="I1683" i="1"/>
  <c r="H1683" i="1"/>
  <c r="I1682" i="1"/>
  <c r="H1682" i="1"/>
  <c r="I1681" i="1"/>
  <c r="H1681" i="1"/>
  <c r="I1680" i="1"/>
  <c r="H1680" i="1"/>
  <c r="I1679" i="1"/>
  <c r="H1679" i="1"/>
  <c r="I1678" i="1"/>
  <c r="H1678" i="1"/>
  <c r="I1677" i="1"/>
  <c r="H1677" i="1"/>
  <c r="I1676" i="1"/>
  <c r="H1676" i="1"/>
  <c r="I1675" i="1"/>
  <c r="H1675" i="1"/>
  <c r="I1674" i="1"/>
  <c r="H1674" i="1"/>
  <c r="I1673" i="1"/>
  <c r="H1673" i="1"/>
  <c r="I1672" i="1"/>
  <c r="H1672" i="1"/>
  <c r="I1671" i="1"/>
  <c r="H1671" i="1"/>
  <c r="I1670" i="1"/>
  <c r="H1670" i="1"/>
  <c r="I1669" i="1"/>
  <c r="H1669" i="1"/>
  <c r="I1668" i="1"/>
  <c r="H1668" i="1"/>
  <c r="I1667" i="1"/>
  <c r="H1667" i="1"/>
  <c r="I1666" i="1"/>
  <c r="H1666" i="1"/>
  <c r="I1665" i="1"/>
  <c r="H1665" i="1"/>
  <c r="I1664" i="1"/>
  <c r="H1664" i="1"/>
  <c r="I1663" i="1"/>
  <c r="H1663" i="1"/>
  <c r="I1662" i="1"/>
  <c r="H1662" i="1"/>
  <c r="I1661" i="1"/>
  <c r="H1661" i="1"/>
  <c r="I1660" i="1"/>
  <c r="H1660" i="1"/>
  <c r="I1659" i="1"/>
  <c r="H1659" i="1"/>
  <c r="I1658" i="1"/>
  <c r="H1658" i="1"/>
  <c r="I1657" i="1"/>
  <c r="H1657" i="1"/>
  <c r="I1656" i="1"/>
  <c r="H1656" i="1"/>
  <c r="I1655" i="1"/>
  <c r="H1655" i="1"/>
  <c r="I1654" i="1"/>
  <c r="H1654" i="1"/>
  <c r="I1653" i="1"/>
  <c r="H1653" i="1"/>
  <c r="I1652" i="1"/>
  <c r="H1652" i="1"/>
  <c r="I1651" i="1"/>
  <c r="H1651" i="1"/>
  <c r="I1650" i="1"/>
  <c r="H1650" i="1"/>
  <c r="I1649" i="1"/>
  <c r="H1649" i="1"/>
  <c r="I1648" i="1"/>
  <c r="H1648" i="1"/>
  <c r="I1647" i="1"/>
  <c r="H1647" i="1"/>
  <c r="I1646" i="1"/>
  <c r="H1646" i="1"/>
  <c r="I1645" i="1"/>
  <c r="H1645" i="1"/>
  <c r="I1644" i="1"/>
  <c r="H1644" i="1"/>
  <c r="I1643" i="1"/>
  <c r="H1643" i="1"/>
  <c r="I1642" i="1"/>
  <c r="H1642" i="1"/>
  <c r="I1641" i="1"/>
  <c r="H1641" i="1"/>
  <c r="I1640" i="1"/>
  <c r="H1640" i="1"/>
  <c r="I1639" i="1"/>
  <c r="H1639" i="1"/>
  <c r="I1638" i="1"/>
  <c r="H1638" i="1"/>
  <c r="I1637" i="1"/>
  <c r="H1637" i="1"/>
  <c r="I1636" i="1"/>
  <c r="H1636" i="1"/>
  <c r="I1635" i="1"/>
  <c r="H1635" i="1"/>
  <c r="I1634" i="1"/>
  <c r="H1634" i="1"/>
  <c r="I1633" i="1"/>
  <c r="H1633" i="1"/>
  <c r="I1632" i="1"/>
  <c r="H1632" i="1"/>
  <c r="I1631" i="1"/>
  <c r="H1631" i="1"/>
  <c r="I1630" i="1"/>
  <c r="H1630" i="1"/>
  <c r="I1629" i="1"/>
  <c r="H1629" i="1"/>
  <c r="I1628" i="1"/>
  <c r="H1628" i="1"/>
  <c r="I1627" i="1"/>
  <c r="H1627" i="1"/>
  <c r="I1626" i="1"/>
  <c r="H1626" i="1"/>
  <c r="I1625" i="1"/>
  <c r="H1625" i="1"/>
  <c r="I1624" i="1"/>
  <c r="H1624" i="1"/>
  <c r="I1623" i="1"/>
  <c r="H1623" i="1"/>
  <c r="I1622" i="1"/>
  <c r="H1622" i="1"/>
  <c r="I1621" i="1"/>
  <c r="H1621" i="1"/>
  <c r="I1620" i="1"/>
  <c r="H1620" i="1"/>
  <c r="I1619" i="1"/>
  <c r="H1619" i="1"/>
  <c r="I1618" i="1"/>
  <c r="H1618" i="1"/>
  <c r="I1617" i="1"/>
  <c r="H1617" i="1"/>
  <c r="I1616" i="1"/>
  <c r="H1616" i="1"/>
  <c r="I1615" i="1"/>
  <c r="H1615" i="1"/>
  <c r="I1614" i="1"/>
  <c r="H1614" i="1"/>
  <c r="I1613" i="1"/>
  <c r="H1613" i="1"/>
  <c r="I1612" i="1"/>
  <c r="H1612" i="1"/>
  <c r="I1611" i="1"/>
  <c r="H1611" i="1"/>
  <c r="I1610" i="1"/>
  <c r="H1610" i="1"/>
  <c r="I1609" i="1"/>
  <c r="H1609" i="1"/>
  <c r="I1608" i="1"/>
  <c r="H1608" i="1"/>
  <c r="I1607" i="1"/>
  <c r="H1607" i="1"/>
  <c r="I1606" i="1"/>
  <c r="H1606" i="1"/>
  <c r="I1605" i="1"/>
  <c r="H1605" i="1"/>
  <c r="I1604" i="1"/>
  <c r="H1604" i="1"/>
  <c r="I1603" i="1"/>
  <c r="H1603" i="1"/>
  <c r="I1602" i="1"/>
  <c r="H1602" i="1"/>
  <c r="I1601" i="1"/>
  <c r="H1601" i="1"/>
  <c r="I1600" i="1"/>
  <c r="H1600" i="1"/>
  <c r="I1599" i="1"/>
  <c r="H1599" i="1"/>
  <c r="I1598" i="1"/>
  <c r="H1598" i="1"/>
  <c r="I1597" i="1"/>
  <c r="H1597" i="1"/>
  <c r="I1596" i="1"/>
  <c r="H1596" i="1"/>
  <c r="I1595" i="1"/>
  <c r="H1595" i="1"/>
  <c r="I1594" i="1"/>
  <c r="H1594" i="1"/>
  <c r="I1593" i="1"/>
  <c r="H1593" i="1"/>
  <c r="I1592" i="1"/>
  <c r="H1592" i="1"/>
  <c r="I1591" i="1"/>
  <c r="H1591" i="1"/>
  <c r="I1590" i="1"/>
  <c r="H1590" i="1"/>
  <c r="I1589" i="1"/>
  <c r="H1589" i="1"/>
  <c r="I1588" i="1"/>
  <c r="H1588" i="1"/>
  <c r="I1587" i="1"/>
  <c r="H1587" i="1"/>
  <c r="I1586" i="1"/>
  <c r="H1586" i="1"/>
  <c r="I1585" i="1"/>
  <c r="H1585" i="1"/>
  <c r="I1584" i="1"/>
  <c r="H1584" i="1"/>
  <c r="I1583" i="1"/>
  <c r="H1583" i="1"/>
  <c r="I1582" i="1"/>
  <c r="H1582" i="1"/>
  <c r="I1581" i="1"/>
  <c r="H1581" i="1"/>
  <c r="I1580" i="1"/>
  <c r="H1580" i="1"/>
  <c r="I1579" i="1"/>
  <c r="H1579" i="1"/>
  <c r="I1578" i="1"/>
  <c r="H1578" i="1"/>
  <c r="I1577" i="1"/>
  <c r="H1577" i="1"/>
  <c r="I1576" i="1"/>
  <c r="H1576" i="1"/>
  <c r="I1575" i="1"/>
  <c r="H1575" i="1"/>
  <c r="I1574" i="1"/>
  <c r="H1574" i="1"/>
  <c r="I1573" i="1"/>
  <c r="H1573" i="1"/>
  <c r="I1572" i="1"/>
  <c r="H1572" i="1"/>
  <c r="I1571" i="1"/>
  <c r="H1571" i="1"/>
  <c r="I1570" i="1"/>
  <c r="H1570" i="1"/>
  <c r="I1569" i="1"/>
  <c r="H1569" i="1"/>
  <c r="I1568" i="1"/>
  <c r="H1568" i="1"/>
  <c r="I1567" i="1"/>
  <c r="H1567" i="1"/>
  <c r="I1566" i="1"/>
  <c r="H1566" i="1"/>
  <c r="I1565" i="1"/>
  <c r="H1565" i="1"/>
  <c r="I1564" i="1"/>
  <c r="H1564" i="1"/>
  <c r="I1563" i="1"/>
  <c r="H1563" i="1"/>
  <c r="I1562" i="1"/>
  <c r="H1562" i="1"/>
  <c r="I1561" i="1"/>
  <c r="H1561" i="1"/>
  <c r="I1560" i="1"/>
  <c r="H1560" i="1"/>
  <c r="I1559" i="1"/>
  <c r="H1559" i="1"/>
  <c r="I1558" i="1"/>
  <c r="H1558" i="1"/>
  <c r="I1557" i="1"/>
  <c r="H1557" i="1"/>
  <c r="I1556" i="1"/>
  <c r="H1556" i="1"/>
  <c r="I1555" i="1"/>
  <c r="H1555" i="1"/>
  <c r="I1554" i="1"/>
  <c r="H1554" i="1"/>
  <c r="I1553" i="1"/>
  <c r="H1553" i="1"/>
  <c r="I1552" i="1"/>
  <c r="H155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I1541" i="1"/>
  <c r="H1541" i="1"/>
  <c r="I1540" i="1"/>
  <c r="H1540" i="1"/>
  <c r="I1539" i="1"/>
  <c r="H1539" i="1"/>
  <c r="I1538" i="1"/>
  <c r="H1538" i="1"/>
  <c r="I1537" i="1"/>
  <c r="H1537" i="1"/>
  <c r="I1536" i="1"/>
  <c r="H1536" i="1"/>
  <c r="I1535" i="1"/>
  <c r="H1535" i="1"/>
  <c r="I1534" i="1"/>
  <c r="H1534" i="1"/>
  <c r="I1533" i="1"/>
  <c r="H1533" i="1"/>
  <c r="I1532" i="1"/>
  <c r="H1532" i="1"/>
  <c r="I1531" i="1"/>
  <c r="H1531" i="1"/>
  <c r="I1530" i="1"/>
  <c r="H1530" i="1"/>
  <c r="I1529" i="1"/>
  <c r="H1529" i="1"/>
  <c r="I1528" i="1"/>
  <c r="H1528" i="1"/>
  <c r="I1527" i="1"/>
  <c r="H1527" i="1"/>
  <c r="I1526" i="1"/>
  <c r="H1526" i="1"/>
  <c r="I1525" i="1"/>
  <c r="H1525" i="1"/>
  <c r="I1524" i="1"/>
  <c r="H1524" i="1"/>
  <c r="I1523" i="1"/>
  <c r="H1523" i="1"/>
  <c r="I1522" i="1"/>
  <c r="H1522" i="1"/>
  <c r="I1521" i="1"/>
  <c r="H1521" i="1"/>
  <c r="I1520" i="1"/>
  <c r="H1520" i="1"/>
  <c r="I1519" i="1"/>
  <c r="H1519" i="1"/>
  <c r="I1518" i="1"/>
  <c r="H1518" i="1"/>
  <c r="I1517" i="1"/>
  <c r="H1517" i="1"/>
  <c r="I1516" i="1"/>
  <c r="H1516" i="1"/>
  <c r="I1515" i="1"/>
  <c r="H1515" i="1"/>
  <c r="I1514" i="1"/>
  <c r="H1514" i="1"/>
  <c r="I1513" i="1"/>
  <c r="H1513" i="1"/>
  <c r="I1512" i="1"/>
  <c r="H1512" i="1"/>
  <c r="I1511" i="1"/>
  <c r="H1511" i="1"/>
  <c r="I1510" i="1"/>
  <c r="H1510" i="1"/>
  <c r="I1509" i="1"/>
  <c r="H1509" i="1"/>
  <c r="I1508" i="1"/>
  <c r="H1508" i="1"/>
  <c r="I1507" i="1"/>
  <c r="H1507" i="1"/>
  <c r="I1506" i="1"/>
  <c r="H1506" i="1"/>
  <c r="I1505" i="1"/>
  <c r="H1505" i="1"/>
  <c r="I1504" i="1"/>
  <c r="H1504" i="1"/>
  <c r="I1503" i="1"/>
  <c r="H1503" i="1"/>
  <c r="I1502" i="1"/>
  <c r="H1502" i="1"/>
  <c r="I1501" i="1"/>
  <c r="H1501" i="1"/>
  <c r="I1500" i="1"/>
  <c r="H1500" i="1"/>
  <c r="I1499" i="1"/>
  <c r="H1499" i="1"/>
  <c r="I1498" i="1"/>
  <c r="H1498" i="1"/>
  <c r="I1497" i="1"/>
  <c r="H1497" i="1"/>
  <c r="I1496" i="1"/>
  <c r="H1496" i="1"/>
  <c r="I1495" i="1"/>
  <c r="H1495" i="1"/>
  <c r="I1494" i="1"/>
  <c r="H1494" i="1"/>
  <c r="I1493" i="1"/>
  <c r="H1493" i="1"/>
  <c r="I1492" i="1"/>
  <c r="H1492" i="1"/>
  <c r="I1491" i="1"/>
  <c r="H1491" i="1"/>
  <c r="I1490" i="1"/>
  <c r="H1490" i="1"/>
  <c r="I1489" i="1"/>
  <c r="H1489" i="1"/>
  <c r="I1488" i="1"/>
  <c r="H1488" i="1"/>
  <c r="I1487" i="1"/>
  <c r="H1487" i="1"/>
  <c r="I1486" i="1"/>
  <c r="H1486" i="1"/>
  <c r="I1485" i="1"/>
  <c r="H1485" i="1"/>
  <c r="I1484" i="1"/>
  <c r="H1484" i="1"/>
  <c r="I1483" i="1"/>
  <c r="H1483" i="1"/>
  <c r="I1482" i="1"/>
  <c r="H1482" i="1"/>
  <c r="I1481" i="1"/>
  <c r="H1481" i="1"/>
  <c r="I1480" i="1"/>
  <c r="H1480" i="1"/>
  <c r="I1479" i="1"/>
  <c r="H1479" i="1"/>
  <c r="I1478" i="1"/>
  <c r="H1478" i="1"/>
  <c r="I1477" i="1"/>
  <c r="H1477" i="1"/>
  <c r="I1476" i="1"/>
  <c r="H1476" i="1"/>
  <c r="I1475" i="1"/>
  <c r="H1475" i="1"/>
  <c r="I1474" i="1"/>
  <c r="H1474" i="1"/>
  <c r="I1473" i="1"/>
  <c r="H1473" i="1"/>
  <c r="I1472" i="1"/>
  <c r="H1472" i="1"/>
  <c r="I1471" i="1"/>
  <c r="H1471" i="1"/>
  <c r="I1470" i="1"/>
  <c r="H1470" i="1"/>
  <c r="I1469" i="1"/>
  <c r="H1469" i="1"/>
  <c r="I1468" i="1"/>
  <c r="H1468" i="1"/>
  <c r="I1467" i="1"/>
  <c r="H1467" i="1"/>
  <c r="I1466" i="1"/>
  <c r="H1466" i="1"/>
  <c r="I1465" i="1"/>
  <c r="H1465" i="1"/>
  <c r="I1464" i="1"/>
  <c r="H1464" i="1"/>
  <c r="I1463" i="1"/>
  <c r="H1463" i="1"/>
  <c r="I1462" i="1"/>
  <c r="H1462" i="1"/>
  <c r="I1461" i="1"/>
  <c r="H1461" i="1"/>
  <c r="I1460" i="1"/>
  <c r="H1460" i="1"/>
  <c r="I1459" i="1"/>
  <c r="H1459" i="1"/>
  <c r="I1458" i="1"/>
  <c r="H1458" i="1"/>
  <c r="I1457" i="1"/>
  <c r="H1457" i="1"/>
  <c r="I1456" i="1"/>
  <c r="H1456" i="1"/>
  <c r="I1455" i="1"/>
  <c r="H1455" i="1"/>
  <c r="I1454" i="1"/>
  <c r="H1454" i="1"/>
  <c r="I1453" i="1"/>
  <c r="H1453" i="1"/>
  <c r="I1452" i="1"/>
  <c r="H1452" i="1"/>
  <c r="I1451" i="1"/>
  <c r="H1451" i="1"/>
  <c r="I1450" i="1"/>
  <c r="H1450" i="1"/>
  <c r="I1449" i="1"/>
  <c r="H1449" i="1"/>
  <c r="I1448" i="1"/>
  <c r="H1448" i="1"/>
  <c r="I1447" i="1"/>
  <c r="H1447" i="1"/>
  <c r="I1446" i="1"/>
  <c r="H1446" i="1"/>
  <c r="I1445" i="1"/>
  <c r="H1445" i="1"/>
  <c r="I1444" i="1"/>
  <c r="H1444" i="1"/>
  <c r="I1443" i="1"/>
  <c r="H1443" i="1"/>
  <c r="I1442" i="1"/>
  <c r="H1442" i="1"/>
  <c r="I1441" i="1"/>
  <c r="H1441" i="1"/>
  <c r="I1440" i="1"/>
  <c r="H1440" i="1"/>
  <c r="I1439" i="1"/>
  <c r="H1439" i="1"/>
  <c r="I1438" i="1"/>
  <c r="H1438" i="1"/>
  <c r="I1437" i="1"/>
  <c r="H1437" i="1"/>
  <c r="I1436" i="1"/>
  <c r="H1436" i="1"/>
  <c r="I1435" i="1"/>
  <c r="H1435" i="1"/>
  <c r="I1434" i="1"/>
  <c r="H1434" i="1"/>
  <c r="I1433" i="1"/>
  <c r="H1433" i="1"/>
  <c r="I1432" i="1"/>
  <c r="H143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I1421" i="1"/>
  <c r="H1421" i="1"/>
  <c r="I1420" i="1"/>
  <c r="H1420" i="1"/>
  <c r="I1419" i="1"/>
  <c r="H1419" i="1"/>
  <c r="I1418" i="1"/>
  <c r="H1418" i="1"/>
  <c r="I1417" i="1"/>
  <c r="H1417" i="1"/>
  <c r="I1416" i="1"/>
  <c r="H1416" i="1"/>
  <c r="I1415" i="1"/>
  <c r="H1415" i="1"/>
  <c r="I1414" i="1"/>
  <c r="H1414" i="1"/>
  <c r="I1413" i="1"/>
  <c r="H1413" i="1"/>
  <c r="I1412" i="1"/>
  <c r="H1412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I1391" i="1"/>
  <c r="H1391" i="1"/>
  <c r="I1390" i="1"/>
  <c r="H1390" i="1"/>
  <c r="I1389" i="1"/>
  <c r="H1389" i="1"/>
  <c r="I1388" i="1"/>
  <c r="H1388" i="1"/>
  <c r="I1387" i="1"/>
  <c r="H1387" i="1"/>
  <c r="I1386" i="1"/>
  <c r="H1386" i="1"/>
  <c r="I1385" i="1"/>
  <c r="H1385" i="1"/>
  <c r="I1384" i="1"/>
  <c r="H1384" i="1"/>
  <c r="I1383" i="1"/>
  <c r="H1383" i="1"/>
  <c r="I1382" i="1"/>
  <c r="H1382" i="1"/>
  <c r="I1381" i="1"/>
  <c r="H1381" i="1"/>
  <c r="I1380" i="1"/>
  <c r="H1380" i="1"/>
  <c r="I1379" i="1"/>
  <c r="H1379" i="1"/>
  <c r="I1378" i="1"/>
  <c r="H1378" i="1"/>
  <c r="I1377" i="1"/>
  <c r="H1377" i="1"/>
  <c r="I1376" i="1"/>
  <c r="H1376" i="1"/>
  <c r="I1375" i="1"/>
  <c r="H1375" i="1"/>
  <c r="I1374" i="1"/>
  <c r="H1374" i="1"/>
  <c r="I1373" i="1"/>
  <c r="H1373" i="1"/>
  <c r="I1372" i="1"/>
  <c r="H137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I1361" i="1"/>
  <c r="H1361" i="1"/>
  <c r="I1360" i="1"/>
  <c r="H1360" i="1"/>
  <c r="I1359" i="1"/>
  <c r="H1359" i="1"/>
  <c r="I1358" i="1"/>
  <c r="H1358" i="1"/>
  <c r="I1357" i="1"/>
  <c r="H1357" i="1"/>
  <c r="I1356" i="1"/>
  <c r="H1356" i="1"/>
  <c r="I1355" i="1"/>
  <c r="H1355" i="1"/>
  <c r="I1354" i="1"/>
  <c r="H1354" i="1"/>
  <c r="I1353" i="1"/>
  <c r="H1353" i="1"/>
  <c r="I1352" i="1"/>
  <c r="H1352" i="1"/>
  <c r="I1351" i="1"/>
  <c r="H1351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I1341" i="1"/>
  <c r="H1341" i="1"/>
  <c r="I1340" i="1"/>
  <c r="H1340" i="1"/>
  <c r="I1339" i="1"/>
  <c r="H1339" i="1"/>
  <c r="I1338" i="1"/>
  <c r="H1338" i="1"/>
  <c r="I1337" i="1"/>
  <c r="H1337" i="1"/>
  <c r="I1336" i="1"/>
  <c r="H1336" i="1"/>
  <c r="I1335" i="1"/>
  <c r="H1335" i="1"/>
  <c r="I1334" i="1"/>
  <c r="H1334" i="1"/>
  <c r="I1333" i="1"/>
  <c r="H1333" i="1"/>
  <c r="I1332" i="1"/>
  <c r="H1332" i="1"/>
  <c r="I1331" i="1"/>
  <c r="H1331" i="1"/>
  <c r="I1330" i="1"/>
  <c r="H1330" i="1"/>
  <c r="I1329" i="1"/>
  <c r="H1329" i="1"/>
  <c r="I1328" i="1"/>
  <c r="H1328" i="1"/>
  <c r="I1327" i="1"/>
  <c r="H1327" i="1"/>
  <c r="I1326" i="1"/>
  <c r="H1326" i="1"/>
  <c r="I1325" i="1"/>
  <c r="H1325" i="1"/>
  <c r="I1324" i="1"/>
  <c r="H1324" i="1"/>
  <c r="I1323" i="1"/>
  <c r="H1323" i="1"/>
  <c r="I1322" i="1"/>
  <c r="H1322" i="1"/>
  <c r="I1321" i="1"/>
  <c r="H1321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I1311" i="1"/>
  <c r="H1311" i="1"/>
  <c r="I1310" i="1"/>
  <c r="H1310" i="1"/>
  <c r="I1309" i="1"/>
  <c r="H1309" i="1"/>
  <c r="I1308" i="1"/>
  <c r="H1308" i="1"/>
  <c r="I1307" i="1"/>
  <c r="H1307" i="1"/>
  <c r="I1306" i="1"/>
  <c r="H1306" i="1"/>
  <c r="I1305" i="1"/>
  <c r="H1305" i="1"/>
  <c r="I1304" i="1"/>
  <c r="H1304" i="1"/>
  <c r="I1303" i="1"/>
  <c r="H1303" i="1"/>
  <c r="I1302" i="1"/>
  <c r="H1302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I1281" i="1"/>
  <c r="H1281" i="1"/>
  <c r="I1280" i="1"/>
  <c r="H1280" i="1"/>
  <c r="I1279" i="1"/>
  <c r="H1279" i="1"/>
  <c r="I1278" i="1"/>
  <c r="H1278" i="1"/>
  <c r="I1277" i="1"/>
  <c r="H1277" i="1"/>
  <c r="I1276" i="1"/>
  <c r="H1276" i="1"/>
  <c r="I1275" i="1"/>
  <c r="H1275" i="1"/>
  <c r="I1274" i="1"/>
  <c r="H1274" i="1"/>
  <c r="I1273" i="1"/>
  <c r="H1273" i="1"/>
  <c r="I1272" i="1"/>
  <c r="H127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I1251" i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I1131" i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I1121" i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I1071" i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I1001" i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I871" i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I861" i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I851" i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I841" i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I831" i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I811" i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I801" i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I791" i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I781" i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I771" i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I761" i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I751" i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I741" i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I731" i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I711" i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I701" i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I691" i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I681" i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I671" i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I661" i="1"/>
  <c r="H661" i="1"/>
  <c r="I660" i="1"/>
  <c r="H660" i="1"/>
  <c r="I659" i="1"/>
  <c r="H659" i="1"/>
  <c r="I658" i="1"/>
  <c r="H658" i="1"/>
  <c r="I657" i="1"/>
  <c r="H657" i="1"/>
  <c r="I656" i="1"/>
  <c r="H656" i="1"/>
  <c r="I655" i="1"/>
  <c r="H655" i="1"/>
  <c r="I654" i="1"/>
  <c r="H654" i="1"/>
  <c r="I653" i="1"/>
  <c r="H653" i="1"/>
  <c r="I652" i="1"/>
  <c r="H652" i="1"/>
  <c r="I651" i="1"/>
  <c r="H651" i="1"/>
  <c r="I650" i="1"/>
  <c r="H650" i="1"/>
  <c r="I649" i="1"/>
  <c r="H649" i="1"/>
  <c r="I648" i="1"/>
  <c r="H648" i="1"/>
  <c r="I647" i="1"/>
  <c r="H647" i="1"/>
  <c r="I646" i="1"/>
  <c r="H646" i="1"/>
  <c r="I645" i="1"/>
  <c r="H645" i="1"/>
  <c r="I644" i="1"/>
  <c r="H644" i="1"/>
  <c r="I643" i="1"/>
  <c r="H643" i="1"/>
  <c r="I642" i="1"/>
  <c r="H642" i="1"/>
  <c r="I641" i="1"/>
  <c r="H641" i="1"/>
  <c r="I640" i="1"/>
  <c r="H640" i="1"/>
  <c r="I639" i="1"/>
  <c r="H639" i="1"/>
  <c r="I638" i="1"/>
  <c r="H638" i="1"/>
  <c r="I637" i="1"/>
  <c r="H637" i="1"/>
  <c r="I636" i="1"/>
  <c r="H636" i="1"/>
  <c r="I635" i="1"/>
  <c r="H635" i="1"/>
  <c r="I634" i="1"/>
  <c r="H634" i="1"/>
  <c r="I633" i="1"/>
  <c r="H633" i="1"/>
  <c r="I632" i="1"/>
  <c r="H632" i="1"/>
  <c r="I631" i="1"/>
  <c r="H631" i="1"/>
  <c r="I630" i="1"/>
  <c r="H630" i="1"/>
  <c r="I629" i="1"/>
  <c r="H629" i="1"/>
  <c r="I628" i="1"/>
  <c r="H628" i="1"/>
  <c r="I627" i="1"/>
  <c r="H627" i="1"/>
  <c r="I626" i="1"/>
  <c r="H626" i="1"/>
  <c r="I625" i="1"/>
  <c r="H625" i="1"/>
  <c r="I624" i="1"/>
  <c r="H624" i="1"/>
  <c r="I623" i="1"/>
  <c r="H623" i="1"/>
  <c r="I622" i="1"/>
  <c r="H622" i="1"/>
  <c r="I621" i="1"/>
  <c r="H621" i="1"/>
  <c r="I620" i="1"/>
  <c r="H620" i="1"/>
  <c r="I619" i="1"/>
  <c r="H619" i="1"/>
  <c r="I618" i="1"/>
  <c r="H618" i="1"/>
  <c r="I617" i="1"/>
  <c r="H617" i="1"/>
  <c r="I616" i="1"/>
  <c r="H616" i="1"/>
  <c r="I615" i="1"/>
  <c r="H615" i="1"/>
  <c r="I614" i="1"/>
  <c r="H614" i="1"/>
  <c r="I613" i="1"/>
  <c r="H613" i="1"/>
  <c r="I612" i="1"/>
  <c r="H612" i="1"/>
  <c r="I611" i="1"/>
  <c r="H611" i="1"/>
  <c r="I610" i="1"/>
  <c r="H610" i="1"/>
  <c r="I609" i="1"/>
  <c r="H609" i="1"/>
  <c r="I608" i="1"/>
  <c r="H608" i="1"/>
  <c r="I607" i="1"/>
  <c r="H607" i="1"/>
  <c r="I606" i="1"/>
  <c r="H606" i="1"/>
  <c r="I605" i="1"/>
  <c r="H605" i="1"/>
  <c r="I604" i="1"/>
  <c r="H604" i="1"/>
  <c r="I603" i="1"/>
  <c r="H603" i="1"/>
  <c r="I602" i="1"/>
  <c r="H602" i="1"/>
  <c r="I601" i="1"/>
  <c r="H601" i="1"/>
  <c r="I600" i="1"/>
  <c r="H600" i="1"/>
  <c r="I599" i="1"/>
  <c r="H599" i="1"/>
  <c r="I598" i="1"/>
  <c r="H598" i="1"/>
  <c r="I597" i="1"/>
  <c r="H597" i="1"/>
  <c r="I596" i="1"/>
  <c r="H596" i="1"/>
  <c r="I595" i="1"/>
  <c r="H595" i="1"/>
  <c r="I594" i="1"/>
  <c r="H594" i="1"/>
  <c r="I593" i="1"/>
  <c r="H593" i="1"/>
  <c r="I592" i="1"/>
  <c r="H592" i="1"/>
  <c r="I591" i="1"/>
  <c r="H591" i="1"/>
  <c r="I590" i="1"/>
  <c r="H590" i="1"/>
  <c r="I589" i="1"/>
  <c r="H589" i="1"/>
  <c r="I588" i="1"/>
  <c r="H588" i="1"/>
  <c r="I587" i="1"/>
  <c r="H587" i="1"/>
  <c r="I586" i="1"/>
  <c r="H586" i="1"/>
  <c r="I585" i="1"/>
  <c r="H585" i="1"/>
  <c r="I584" i="1"/>
  <c r="H584" i="1"/>
  <c r="I583" i="1"/>
  <c r="H583" i="1"/>
  <c r="I582" i="1"/>
  <c r="H582" i="1"/>
  <c r="I581" i="1"/>
  <c r="H581" i="1"/>
  <c r="I580" i="1"/>
  <c r="H580" i="1"/>
  <c r="I579" i="1"/>
  <c r="H579" i="1"/>
  <c r="I578" i="1"/>
  <c r="H578" i="1"/>
  <c r="I577" i="1"/>
  <c r="H577" i="1"/>
  <c r="I576" i="1"/>
  <c r="H576" i="1"/>
  <c r="I575" i="1"/>
  <c r="H575" i="1"/>
  <c r="I574" i="1"/>
  <c r="H574" i="1"/>
  <c r="I573" i="1"/>
  <c r="H573" i="1"/>
  <c r="I572" i="1"/>
  <c r="H572" i="1"/>
  <c r="I571" i="1"/>
  <c r="H571" i="1"/>
  <c r="I570" i="1"/>
  <c r="H570" i="1"/>
  <c r="I569" i="1"/>
  <c r="H569" i="1"/>
  <c r="I568" i="1"/>
  <c r="H568" i="1"/>
  <c r="I567" i="1"/>
  <c r="H567" i="1"/>
  <c r="I566" i="1"/>
  <c r="H566" i="1"/>
  <c r="I565" i="1"/>
  <c r="H565" i="1"/>
  <c r="I564" i="1"/>
  <c r="H564" i="1"/>
  <c r="I563" i="1"/>
  <c r="H563" i="1"/>
  <c r="I562" i="1"/>
  <c r="H562" i="1"/>
  <c r="I561" i="1"/>
  <c r="H561" i="1"/>
  <c r="I560" i="1"/>
  <c r="H560" i="1"/>
  <c r="I559" i="1"/>
  <c r="H559" i="1"/>
  <c r="I558" i="1"/>
  <c r="H558" i="1"/>
  <c r="I557" i="1"/>
  <c r="H557" i="1"/>
  <c r="I556" i="1"/>
  <c r="H556" i="1"/>
  <c r="I555" i="1"/>
  <c r="H555" i="1"/>
  <c r="I554" i="1"/>
  <c r="H554" i="1"/>
  <c r="I553" i="1"/>
  <c r="H553" i="1"/>
  <c r="I552" i="1"/>
  <c r="H552" i="1"/>
  <c r="I551" i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I541" i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I501" i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I491" i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I481" i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I471" i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I461" i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I451" i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I441" i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I431" i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I421" i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I401" i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I391" i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I361" i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</calcChain>
</file>

<file path=xl/sharedStrings.xml><?xml version="1.0" encoding="utf-8"?>
<sst xmlns="http://schemas.openxmlformats.org/spreadsheetml/2006/main" count="47907" uniqueCount="18248">
  <si>
    <t>01</t>
  </si>
  <si>
    <t>001</t>
  </si>
  <si>
    <t>00001</t>
  </si>
  <si>
    <t>Kupwara</t>
  </si>
  <si>
    <t>118</t>
  </si>
  <si>
    <t>4</t>
  </si>
  <si>
    <t>7</t>
  </si>
  <si>
    <t>301.94</t>
  </si>
  <si>
    <t>00002</t>
  </si>
  <si>
    <t>Handwara</t>
  </si>
  <si>
    <t>196</t>
  </si>
  <si>
    <t>3</t>
  </si>
  <si>
    <t>1</t>
  </si>
  <si>
    <t>291.47000000000003</t>
  </si>
  <si>
    <t>00003</t>
  </si>
  <si>
    <t>Karnah</t>
  </si>
  <si>
    <t>39</t>
  </si>
  <si>
    <t>2</t>
  </si>
  <si>
    <t>69.89</t>
  </si>
  <si>
    <t>860</t>
  </si>
  <si>
    <t>002</t>
  </si>
  <si>
    <t>00004</t>
  </si>
  <si>
    <t>Khag</t>
  </si>
  <si>
    <t>49</t>
  </si>
  <si>
    <t>0</t>
  </si>
  <si>
    <t>61.12</t>
  </si>
  <si>
    <t>00005</t>
  </si>
  <si>
    <t>Beerwah</t>
  </si>
  <si>
    <t>102</t>
  </si>
  <si>
    <t>134.07</t>
  </si>
  <si>
    <t>00006</t>
  </si>
  <si>
    <t>Khansahib</t>
  </si>
  <si>
    <t>96</t>
  </si>
  <si>
    <t>125.91</t>
  </si>
  <si>
    <t>00007</t>
  </si>
  <si>
    <t>Budgam</t>
  </si>
  <si>
    <t>95</t>
  </si>
  <si>
    <t>146.16</t>
  </si>
  <si>
    <t>00008</t>
  </si>
  <si>
    <t>Chadoora</t>
  </si>
  <si>
    <t>104</t>
  </si>
  <si>
    <t>194.67</t>
  </si>
  <si>
    <t>00009</t>
  </si>
  <si>
    <t>Charar- E- Shrief</t>
  </si>
  <si>
    <t>16</t>
  </si>
  <si>
    <t>58.85</t>
  </si>
  <si>
    <t>908</t>
  </si>
  <si>
    <t>37</t>
  </si>
  <si>
    <t>003</t>
  </si>
  <si>
    <t>00010</t>
  </si>
  <si>
    <t>Leh</t>
  </si>
  <si>
    <t>60</t>
  </si>
  <si>
    <t>171.06</t>
  </si>
  <si>
    <t>549</t>
  </si>
  <si>
    <t>00011</t>
  </si>
  <si>
    <t>Nubra</t>
  </si>
  <si>
    <t>28</t>
  </si>
  <si>
    <t>166.82</t>
  </si>
  <si>
    <t>134</t>
  </si>
  <si>
    <t>00012</t>
  </si>
  <si>
    <t>Khalsi</t>
  </si>
  <si>
    <t>23</t>
  </si>
  <si>
    <t>56.01</t>
  </si>
  <si>
    <t>305</t>
  </si>
  <si>
    <t>004</t>
  </si>
  <si>
    <t>00013</t>
  </si>
  <si>
    <t>Kargil</t>
  </si>
  <si>
    <t>64</t>
  </si>
  <si>
    <t>84.16</t>
  </si>
  <si>
    <t>1027</t>
  </si>
  <si>
    <t>00014</t>
  </si>
  <si>
    <t>Sanku</t>
  </si>
  <si>
    <t>36</t>
  </si>
  <si>
    <t>60.49</t>
  </si>
  <si>
    <t>670</t>
  </si>
  <si>
    <t>00015</t>
  </si>
  <si>
    <t>Zanskar</t>
  </si>
  <si>
    <t>25</t>
  </si>
  <si>
    <t>43.11</t>
  </si>
  <si>
    <t>320</t>
  </si>
  <si>
    <t>005</t>
  </si>
  <si>
    <t>00016</t>
  </si>
  <si>
    <t>Haveli</t>
  </si>
  <si>
    <t>278.42</t>
  </si>
  <si>
    <t>477</t>
  </si>
  <si>
    <t>00017</t>
  </si>
  <si>
    <t>Mandi</t>
  </si>
  <si>
    <t>196.28</t>
  </si>
  <si>
    <t>397</t>
  </si>
  <si>
    <t>00018</t>
  </si>
  <si>
    <t>Mendhar</t>
  </si>
  <si>
    <t>51</t>
  </si>
  <si>
    <t>5</t>
  </si>
  <si>
    <t>424.69</t>
  </si>
  <si>
    <t>333</t>
  </si>
  <si>
    <t>00019</t>
  </si>
  <si>
    <t>Surankote</t>
  </si>
  <si>
    <t>33</t>
  </si>
  <si>
    <t>250.23</t>
  </si>
  <si>
    <t>499</t>
  </si>
  <si>
    <t>006</t>
  </si>
  <si>
    <t>00020</t>
  </si>
  <si>
    <t>Thanamandi</t>
  </si>
  <si>
    <t>32</t>
  </si>
  <si>
    <t>148.69</t>
  </si>
  <si>
    <t>456</t>
  </si>
  <si>
    <t>00021</t>
  </si>
  <si>
    <t>Darhal</t>
  </si>
  <si>
    <t>11</t>
  </si>
  <si>
    <t>80.3</t>
  </si>
  <si>
    <t>451</t>
  </si>
  <si>
    <t>00022</t>
  </si>
  <si>
    <t>Rajauri</t>
  </si>
  <si>
    <t>593.49</t>
  </si>
  <si>
    <t>319</t>
  </si>
  <si>
    <t>00023</t>
  </si>
  <si>
    <t>Budhal</t>
  </si>
  <si>
    <t>468.25</t>
  </si>
  <si>
    <t>263</t>
  </si>
  <si>
    <t>00024</t>
  </si>
  <si>
    <t>Kalakote</t>
  </si>
  <si>
    <t>68</t>
  </si>
  <si>
    <t>412.96</t>
  </si>
  <si>
    <t>176</t>
  </si>
  <si>
    <t>00025</t>
  </si>
  <si>
    <t>Nowshehra</t>
  </si>
  <si>
    <t>52</t>
  </si>
  <si>
    <t>482.03</t>
  </si>
  <si>
    <t>185</t>
  </si>
  <si>
    <t>00026</t>
  </si>
  <si>
    <t>Sunderbani</t>
  </si>
  <si>
    <t>43</t>
  </si>
  <si>
    <t>333.43</t>
  </si>
  <si>
    <t>193</t>
  </si>
  <si>
    <t>007</t>
  </si>
  <si>
    <t>00027</t>
  </si>
  <si>
    <t>Billawar</t>
  </si>
  <si>
    <t>65</t>
  </si>
  <si>
    <t>675.12</t>
  </si>
  <si>
    <t>223</t>
  </si>
  <si>
    <t>00028</t>
  </si>
  <si>
    <t>Bashohli</t>
  </si>
  <si>
    <t>38</t>
  </si>
  <si>
    <t>344.24</t>
  </si>
  <si>
    <t>206</t>
  </si>
  <si>
    <t>00029</t>
  </si>
  <si>
    <t>Bani</t>
  </si>
  <si>
    <t>468.12</t>
  </si>
  <si>
    <t>98</t>
  </si>
  <si>
    <t>00030</t>
  </si>
  <si>
    <t>Kathua</t>
  </si>
  <si>
    <t>163</t>
  </si>
  <si>
    <t>8</t>
  </si>
  <si>
    <t>563.89</t>
  </si>
  <si>
    <t>374</t>
  </si>
  <si>
    <t>00031</t>
  </si>
  <si>
    <t>Hiranagar</t>
  </si>
  <si>
    <t>197</t>
  </si>
  <si>
    <t>6</t>
  </si>
  <si>
    <t>388.92</t>
  </si>
  <si>
    <t>354</t>
  </si>
  <si>
    <t>008</t>
  </si>
  <si>
    <t>00032</t>
  </si>
  <si>
    <t>Sopore</t>
  </si>
  <si>
    <t>57</t>
  </si>
  <si>
    <t>170.09</t>
  </si>
  <si>
    <t>00033</t>
  </si>
  <si>
    <t>Rafiabad</t>
  </si>
  <si>
    <t>77</t>
  </si>
  <si>
    <t>113.34</t>
  </si>
  <si>
    <t>00034</t>
  </si>
  <si>
    <t>Pattan</t>
  </si>
  <si>
    <t>94</t>
  </si>
  <si>
    <t>181.34</t>
  </si>
  <si>
    <t>00035</t>
  </si>
  <si>
    <t>Baramulla</t>
  </si>
  <si>
    <t>42</t>
  </si>
  <si>
    <t>122.36</t>
  </si>
  <si>
    <t>00036</t>
  </si>
  <si>
    <t>Kreeri</t>
  </si>
  <si>
    <t>50</t>
  </si>
  <si>
    <t>84.19</t>
  </si>
  <si>
    <t>795</t>
  </si>
  <si>
    <t>00037</t>
  </si>
  <si>
    <t>Uri</t>
  </si>
  <si>
    <t>41</t>
  </si>
  <si>
    <t>160.05000000000001</t>
  </si>
  <si>
    <t>468</t>
  </si>
  <si>
    <t>00038</t>
  </si>
  <si>
    <t>Boniyar</t>
  </si>
  <si>
    <t>95.59</t>
  </si>
  <si>
    <t>00039</t>
  </si>
  <si>
    <t>Tangmarg</t>
  </si>
  <si>
    <t>111.43</t>
  </si>
  <si>
    <t>009</t>
  </si>
  <si>
    <t>00040</t>
  </si>
  <si>
    <t>Gurez</t>
  </si>
  <si>
    <t>44.66</t>
  </si>
  <si>
    <t>00041</t>
  </si>
  <si>
    <t>Bandipora</t>
  </si>
  <si>
    <t>116.21</t>
  </si>
  <si>
    <t>00042</t>
  </si>
  <si>
    <t>Sonawari</t>
  </si>
  <si>
    <t>184</t>
  </si>
  <si>
    <t>010</t>
  </si>
  <si>
    <t>00043</t>
  </si>
  <si>
    <t>Srinagar (North)</t>
  </si>
  <si>
    <t>298.07</t>
  </si>
  <si>
    <t>00044</t>
  </si>
  <si>
    <t>Srinagar (South)</t>
  </si>
  <si>
    <t>12.42</t>
  </si>
  <si>
    <t>011</t>
  </si>
  <si>
    <t>00045</t>
  </si>
  <si>
    <t>Lar</t>
  </si>
  <si>
    <t>82.92</t>
  </si>
  <si>
    <t>00046</t>
  </si>
  <si>
    <t>Kangan</t>
  </si>
  <si>
    <t>90.44</t>
  </si>
  <si>
    <t>00047</t>
  </si>
  <si>
    <t>Ganderbal</t>
  </si>
  <si>
    <t>29</t>
  </si>
  <si>
    <t>85.96</t>
  </si>
  <si>
    <t>012</t>
  </si>
  <si>
    <t>00048</t>
  </si>
  <si>
    <t>Pampore</t>
  </si>
  <si>
    <t>112.41</t>
  </si>
  <si>
    <t>00049</t>
  </si>
  <si>
    <t>Awantipora</t>
  </si>
  <si>
    <t>116.92</t>
  </si>
  <si>
    <t>740</t>
  </si>
  <si>
    <t>00050</t>
  </si>
  <si>
    <t>Tral</t>
  </si>
  <si>
    <t>66</t>
  </si>
  <si>
    <t>117.87</t>
  </si>
  <si>
    <t>00051</t>
  </si>
  <si>
    <t>Pulwama</t>
  </si>
  <si>
    <t>187</t>
  </si>
  <si>
    <t>288.68</t>
  </si>
  <si>
    <t>977</t>
  </si>
  <si>
    <t>013</t>
  </si>
  <si>
    <t>00052</t>
  </si>
  <si>
    <t>Shopian</t>
  </si>
  <si>
    <t>226</t>
  </si>
  <si>
    <t>311.73</t>
  </si>
  <si>
    <t>014</t>
  </si>
  <si>
    <t>00053</t>
  </si>
  <si>
    <t>Pahalgam</t>
  </si>
  <si>
    <t>125.22</t>
  </si>
  <si>
    <t>00054</t>
  </si>
  <si>
    <t>Bijbehara</t>
  </si>
  <si>
    <t>142.1</t>
  </si>
  <si>
    <t>00055</t>
  </si>
  <si>
    <t>Anantnag</t>
  </si>
  <si>
    <t>82</t>
  </si>
  <si>
    <t>188.83</t>
  </si>
  <si>
    <t>00056</t>
  </si>
  <si>
    <t>Shangus</t>
  </si>
  <si>
    <t>59.09</t>
  </si>
  <si>
    <t>1254</t>
  </si>
  <si>
    <t>00057</t>
  </si>
  <si>
    <t>Kokernag</t>
  </si>
  <si>
    <t>126.01</t>
  </si>
  <si>
    <t>00058</t>
  </si>
  <si>
    <t>Dooru</t>
  </si>
  <si>
    <t>61</t>
  </si>
  <si>
    <t>130.69</t>
  </si>
  <si>
    <t>015</t>
  </si>
  <si>
    <t>00059</t>
  </si>
  <si>
    <t>Kulgam</t>
  </si>
  <si>
    <t>161</t>
  </si>
  <si>
    <t>265.36</t>
  </si>
  <si>
    <t>1077</t>
  </si>
  <si>
    <t>00060</t>
  </si>
  <si>
    <t>Devsar</t>
  </si>
  <si>
    <t>15</t>
  </si>
  <si>
    <t>20.37</t>
  </si>
  <si>
    <t>00061</t>
  </si>
  <si>
    <t>Damhal Hanjipora</t>
  </si>
  <si>
    <t>124.64</t>
  </si>
  <si>
    <t>016</t>
  </si>
  <si>
    <t>00062</t>
  </si>
  <si>
    <t>Doda</t>
  </si>
  <si>
    <t>126</t>
  </si>
  <si>
    <t>1023.61</t>
  </si>
  <si>
    <t>198</t>
  </si>
  <si>
    <t>00063</t>
  </si>
  <si>
    <t>Thathri</t>
  </si>
  <si>
    <t>92</t>
  </si>
  <si>
    <t>123.54</t>
  </si>
  <si>
    <t>485</t>
  </si>
  <si>
    <t>00064</t>
  </si>
  <si>
    <t>Gandoh</t>
  </si>
  <si>
    <t>105.08</t>
  </si>
  <si>
    <t>684</t>
  </si>
  <si>
    <t>00065</t>
  </si>
  <si>
    <t>Bhaderwah</t>
  </si>
  <si>
    <t>112.17</t>
  </si>
  <si>
    <t>017</t>
  </si>
  <si>
    <t>00066</t>
  </si>
  <si>
    <t>Banihal</t>
  </si>
  <si>
    <t>563.08000000000004</t>
  </si>
  <si>
    <t>222</t>
  </si>
  <si>
    <t>00067</t>
  </si>
  <si>
    <t>Ramban</t>
  </si>
  <si>
    <t>765.96</t>
  </si>
  <si>
    <t>207</t>
  </si>
  <si>
    <t>018</t>
  </si>
  <si>
    <t>00068</t>
  </si>
  <si>
    <t>Kishtwar</t>
  </si>
  <si>
    <t>780.3</t>
  </si>
  <si>
    <t>166</t>
  </si>
  <si>
    <t>00069</t>
  </si>
  <si>
    <t>Marwah</t>
  </si>
  <si>
    <t>27</t>
  </si>
  <si>
    <t>307.35000000000002</t>
  </si>
  <si>
    <t>116</t>
  </si>
  <si>
    <t>00070</t>
  </si>
  <si>
    <t>Chhatroo</t>
  </si>
  <si>
    <t>14</t>
  </si>
  <si>
    <t>308.52</t>
  </si>
  <si>
    <t>143</t>
  </si>
  <si>
    <t>00071</t>
  </si>
  <si>
    <t>Atholi (Paddar)</t>
  </si>
  <si>
    <t>248.11</t>
  </si>
  <si>
    <t>87</t>
  </si>
  <si>
    <t>019</t>
  </si>
  <si>
    <t>00072</t>
  </si>
  <si>
    <t>Udhampur</t>
  </si>
  <si>
    <t>149</t>
  </si>
  <si>
    <t>808.71</t>
  </si>
  <si>
    <t>341</t>
  </si>
  <si>
    <t>00073</t>
  </si>
  <si>
    <t>Chenani</t>
  </si>
  <si>
    <t>46</t>
  </si>
  <si>
    <t>312.12</t>
  </si>
  <si>
    <t>00074</t>
  </si>
  <si>
    <t>Ramnagar</t>
  </si>
  <si>
    <t>88</t>
  </si>
  <si>
    <t>1025.6500000000001</t>
  </si>
  <si>
    <t>00075</t>
  </si>
  <si>
    <t>Majalta</t>
  </si>
  <si>
    <t>235.35</t>
  </si>
  <si>
    <t>203</t>
  </si>
  <si>
    <t>020</t>
  </si>
  <si>
    <t>00076</t>
  </si>
  <si>
    <t>Gool-Gulabgarh</t>
  </si>
  <si>
    <t>857.26</t>
  </si>
  <si>
    <t>172</t>
  </si>
  <si>
    <t>00077</t>
  </si>
  <si>
    <t>Reasi</t>
  </si>
  <si>
    <t>192</t>
  </si>
  <si>
    <t>861.53</t>
  </si>
  <si>
    <t>194</t>
  </si>
  <si>
    <t>021</t>
  </si>
  <si>
    <t>00078</t>
  </si>
  <si>
    <t>Akhnoor</t>
  </si>
  <si>
    <t>19</t>
  </si>
  <si>
    <t>969.5</t>
  </si>
  <si>
    <t>258</t>
  </si>
  <si>
    <t>00079</t>
  </si>
  <si>
    <t>Jammu</t>
  </si>
  <si>
    <t>309</t>
  </si>
  <si>
    <t>1069.72</t>
  </si>
  <si>
    <t>00080</t>
  </si>
  <si>
    <t>Ranbir Singh Pora</t>
  </si>
  <si>
    <t>245.26</t>
  </si>
  <si>
    <t>00081</t>
  </si>
  <si>
    <t>Bishnah</t>
  </si>
  <si>
    <t>101</t>
  </si>
  <si>
    <t>158.18</t>
  </si>
  <si>
    <t>022</t>
  </si>
  <si>
    <t>00082</t>
  </si>
  <si>
    <t>Samba</t>
  </si>
  <si>
    <t>345</t>
  </si>
  <si>
    <t>31</t>
  </si>
  <si>
    <t>903.65</t>
  </si>
  <si>
    <t>353</t>
  </si>
  <si>
    <t>02</t>
  </si>
  <si>
    <t>023</t>
  </si>
  <si>
    <t>00083</t>
  </si>
  <si>
    <t>Pangi</t>
  </si>
  <si>
    <t>1515.455245321114</t>
  </si>
  <si>
    <t>12</t>
  </si>
  <si>
    <t>00084</t>
  </si>
  <si>
    <t>Chaurah</t>
  </si>
  <si>
    <t>181</t>
  </si>
  <si>
    <t>131</t>
  </si>
  <si>
    <t>1164.8945641198541</t>
  </si>
  <si>
    <t>00085</t>
  </si>
  <si>
    <t>Saluni</t>
  </si>
  <si>
    <t>132</t>
  </si>
  <si>
    <t>362.0248525754306</t>
  </si>
  <si>
    <t>00086</t>
  </si>
  <si>
    <t>Bhalai</t>
  </si>
  <si>
    <t>78</t>
  </si>
  <si>
    <t>133.25185124403168</t>
  </si>
  <si>
    <t>190</t>
  </si>
  <si>
    <t>00087</t>
  </si>
  <si>
    <t>Dalhousie</t>
  </si>
  <si>
    <t>119</t>
  </si>
  <si>
    <t>159.95734751725522</t>
  </si>
  <si>
    <t>292</t>
  </si>
  <si>
    <t>00088</t>
  </si>
  <si>
    <t>Bhattiyat</t>
  </si>
  <si>
    <t>123</t>
  </si>
  <si>
    <t>10</t>
  </si>
  <si>
    <t>248.88379172063836</t>
  </si>
  <si>
    <t>173</t>
  </si>
  <si>
    <t>00089</t>
  </si>
  <si>
    <t>Sihunta</t>
  </si>
  <si>
    <t>80</t>
  </si>
  <si>
    <t>17</t>
  </si>
  <si>
    <t>264.18636775793277</t>
  </si>
  <si>
    <t>151</t>
  </si>
  <si>
    <t>00090</t>
  </si>
  <si>
    <t>Chamba</t>
  </si>
  <si>
    <t>241</t>
  </si>
  <si>
    <t>1012.2771446685192</t>
  </si>
  <si>
    <t>177</t>
  </si>
  <si>
    <t>00091</t>
  </si>
  <si>
    <t>Holi</t>
  </si>
  <si>
    <t>716.06664013340674</t>
  </si>
  <si>
    <t>20</t>
  </si>
  <si>
    <t>00092</t>
  </si>
  <si>
    <t>Brahmaur</t>
  </si>
  <si>
    <t>62</t>
  </si>
  <si>
    <t>945.01318635648943</t>
  </si>
  <si>
    <t>26</t>
  </si>
  <si>
    <t>024</t>
  </si>
  <si>
    <t>00093</t>
  </si>
  <si>
    <t>Nurpur</t>
  </si>
  <si>
    <t>392</t>
  </si>
  <si>
    <t>540.42218024744955</t>
  </si>
  <si>
    <t>327</t>
  </si>
  <si>
    <t>00094</t>
  </si>
  <si>
    <t>Indora</t>
  </si>
  <si>
    <t>112</t>
  </si>
  <si>
    <t>298.12916541036685</t>
  </si>
  <si>
    <t>272</t>
  </si>
  <si>
    <t>00095</t>
  </si>
  <si>
    <t>Fatehpur</t>
  </si>
  <si>
    <t>305.9878131087973</t>
  </si>
  <si>
    <t>00096</t>
  </si>
  <si>
    <t>Jawali</t>
  </si>
  <si>
    <t>195</t>
  </si>
  <si>
    <t>18</t>
  </si>
  <si>
    <t>295.64212255898286</t>
  </si>
  <si>
    <t>381</t>
  </si>
  <si>
    <t>00097</t>
  </si>
  <si>
    <t>Harchakian</t>
  </si>
  <si>
    <t>72.185399481562371</t>
  </si>
  <si>
    <t>00098</t>
  </si>
  <si>
    <t>Shahpur</t>
  </si>
  <si>
    <t>152</t>
  </si>
  <si>
    <t>244.60678011275542</t>
  </si>
  <si>
    <t>277</t>
  </si>
  <si>
    <t>00099</t>
  </si>
  <si>
    <t>Dharmsala</t>
  </si>
  <si>
    <t>13</t>
  </si>
  <si>
    <t>337.66703106822905</t>
  </si>
  <si>
    <t>404</t>
  </si>
  <si>
    <t>00100</t>
  </si>
  <si>
    <t>Kangra</t>
  </si>
  <si>
    <t>180.62658348104588</t>
  </si>
  <si>
    <t>540</t>
  </si>
  <si>
    <t>00101</t>
  </si>
  <si>
    <t>Nagrota Bagwan</t>
  </si>
  <si>
    <t>157</t>
  </si>
  <si>
    <t>95.017268281152852</t>
  </si>
  <si>
    <t>809</t>
  </si>
  <si>
    <t>00102</t>
  </si>
  <si>
    <t>Baroh</t>
  </si>
  <si>
    <t>133.99453001759659</t>
  </si>
  <si>
    <t>00103</t>
  </si>
  <si>
    <t>Dera Gopipur</t>
  </si>
  <si>
    <t>282</t>
  </si>
  <si>
    <t>610.64036960476142</t>
  </si>
  <si>
    <t>00104</t>
  </si>
  <si>
    <t>Jawalamukhi</t>
  </si>
  <si>
    <t>122</t>
  </si>
  <si>
    <t>103.61999027528425</t>
  </si>
  <si>
    <t>420</t>
  </si>
  <si>
    <t>00105</t>
  </si>
  <si>
    <t>Jaswan</t>
  </si>
  <si>
    <t>86</t>
  </si>
  <si>
    <t>181.0750666181807</t>
  </si>
  <si>
    <t>180</t>
  </si>
  <si>
    <t>00106</t>
  </si>
  <si>
    <t>Rakkar</t>
  </si>
  <si>
    <t>103</t>
  </si>
  <si>
    <t>114.48551355223222</t>
  </si>
  <si>
    <t>00107</t>
  </si>
  <si>
    <t>Khundian</t>
  </si>
  <si>
    <t>216</t>
  </si>
  <si>
    <t>190.7072612680079</t>
  </si>
  <si>
    <t>200</t>
  </si>
  <si>
    <t>00108</t>
  </si>
  <si>
    <t>Thural</t>
  </si>
  <si>
    <t>84</t>
  </si>
  <si>
    <t>57.681047114679686</t>
  </si>
  <si>
    <t>334</t>
  </si>
  <si>
    <t>00109</t>
  </si>
  <si>
    <t>Dhira</t>
  </si>
  <si>
    <t>113</t>
  </si>
  <si>
    <t>81.185640619972375</t>
  </si>
  <si>
    <t>00110</t>
  </si>
  <si>
    <t>Jaisinghpur</t>
  </si>
  <si>
    <t>218</t>
  </si>
  <si>
    <t>191.00285242657404</t>
  </si>
  <si>
    <t>00111</t>
  </si>
  <si>
    <t>Palampur</t>
  </si>
  <si>
    <t>395</t>
  </si>
  <si>
    <t>429.29009742515711</t>
  </si>
  <si>
    <t>441</t>
  </si>
  <si>
    <t>00112</t>
  </si>
  <si>
    <t>Baijnath</t>
  </si>
  <si>
    <t>296.03964170326145</t>
  </si>
  <si>
    <t>322</t>
  </si>
  <si>
    <t>00113</t>
  </si>
  <si>
    <t>Multhan</t>
  </si>
  <si>
    <t>34</t>
  </si>
  <si>
    <t>978.99791717101152</t>
  </si>
  <si>
    <t>025</t>
  </si>
  <si>
    <t>00114</t>
  </si>
  <si>
    <t>Udaipur</t>
  </si>
  <si>
    <t>1798.5447073717748</t>
  </si>
  <si>
    <t>00115</t>
  </si>
  <si>
    <t>Lahul</t>
  </si>
  <si>
    <t>4923.7826889556018</t>
  </si>
  <si>
    <t>00116</t>
  </si>
  <si>
    <t>Spiti</t>
  </si>
  <si>
    <t>7118.6785267905161</t>
  </si>
  <si>
    <t>026</t>
  </si>
  <si>
    <t>00117</t>
  </si>
  <si>
    <t>Manali</t>
  </si>
  <si>
    <t>70</t>
  </si>
  <si>
    <t>751.73216050819076</t>
  </si>
  <si>
    <t>69</t>
  </si>
  <si>
    <t>00118</t>
  </si>
  <si>
    <t>Kullu</t>
  </si>
  <si>
    <t>156</t>
  </si>
  <si>
    <t>2809.0409314870026</t>
  </si>
  <si>
    <t>74</t>
  </si>
  <si>
    <t>00119</t>
  </si>
  <si>
    <t>Sainj</t>
  </si>
  <si>
    <t>272.01769144158777</t>
  </si>
  <si>
    <t>00120</t>
  </si>
  <si>
    <t>Banjar</t>
  </si>
  <si>
    <t>956.63948468254273</t>
  </si>
  <si>
    <t>00121</t>
  </si>
  <si>
    <t>Ani</t>
  </si>
  <si>
    <t>300.30050152010608</t>
  </si>
  <si>
    <t>00122</t>
  </si>
  <si>
    <t>Nermand</t>
  </si>
  <si>
    <t>413.27847516106607</t>
  </si>
  <si>
    <t>128</t>
  </si>
  <si>
    <t>027</t>
  </si>
  <si>
    <t>00123</t>
  </si>
  <si>
    <t>Padhar</t>
  </si>
  <si>
    <t>409.48232410801182</t>
  </si>
  <si>
    <t>121</t>
  </si>
  <si>
    <t>00124</t>
  </si>
  <si>
    <t>Jogindarnagar</t>
  </si>
  <si>
    <t>208</t>
  </si>
  <si>
    <t>277.50303691048475</t>
  </si>
  <si>
    <t>304</t>
  </si>
  <si>
    <t>00125</t>
  </si>
  <si>
    <t>Lad Bharol</t>
  </si>
  <si>
    <t>146</t>
  </si>
  <si>
    <t>84.854779879689616</t>
  </si>
  <si>
    <t>00126</t>
  </si>
  <si>
    <t>Sandhol</t>
  </si>
  <si>
    <t>59.421857058262347</t>
  </si>
  <si>
    <t>285</t>
  </si>
  <si>
    <t>00127</t>
  </si>
  <si>
    <t>Dharmpur</t>
  </si>
  <si>
    <t>115.3374872163038</t>
  </si>
  <si>
    <t>302</t>
  </si>
  <si>
    <t>00128</t>
  </si>
  <si>
    <t>Kotli</t>
  </si>
  <si>
    <t>89.137896705323868</t>
  </si>
  <si>
    <t>290</t>
  </si>
  <si>
    <t>00129</t>
  </si>
  <si>
    <t>Sarkaghat</t>
  </si>
  <si>
    <t>179</t>
  </si>
  <si>
    <t>146.40286199697803</t>
  </si>
  <si>
    <t>439</t>
  </si>
  <si>
    <t>00130</t>
  </si>
  <si>
    <t>Bhadrota</t>
  </si>
  <si>
    <t>93</t>
  </si>
  <si>
    <t>88.330340072328383</t>
  </si>
  <si>
    <t>244</t>
  </si>
  <si>
    <t>00131</t>
  </si>
  <si>
    <t>Baldwara</t>
  </si>
  <si>
    <t>94.647681834242391</t>
  </si>
  <si>
    <t>463</t>
  </si>
  <si>
    <t>00132</t>
  </si>
  <si>
    <t>Sundarnagar</t>
  </si>
  <si>
    <t>160</t>
  </si>
  <si>
    <t>244.51588178799847</t>
  </si>
  <si>
    <t>455</t>
  </si>
  <si>
    <t>00133</t>
  </si>
  <si>
    <t>368</t>
  </si>
  <si>
    <t>591.27456665474108</t>
  </si>
  <si>
    <t>365</t>
  </si>
  <si>
    <t>00134</t>
  </si>
  <si>
    <t>Aut</t>
  </si>
  <si>
    <t>150.66553435089085</t>
  </si>
  <si>
    <t>205</t>
  </si>
  <si>
    <t>00135</t>
  </si>
  <si>
    <t>Bali Chowki</t>
  </si>
  <si>
    <t>97</t>
  </si>
  <si>
    <t>59</t>
  </si>
  <si>
    <t>192.1167007660386</t>
  </si>
  <si>
    <t>00136</t>
  </si>
  <si>
    <t>Thunag</t>
  </si>
  <si>
    <t>313.56708502704237</t>
  </si>
  <si>
    <t>00137</t>
  </si>
  <si>
    <t>Chachyot</t>
  </si>
  <si>
    <t>53</t>
  </si>
  <si>
    <t>242.34876778552962</t>
  </si>
  <si>
    <t>238</t>
  </si>
  <si>
    <t>00138</t>
  </si>
  <si>
    <t>Nihri</t>
  </si>
  <si>
    <t>204</t>
  </si>
  <si>
    <t>326.88665835353743</t>
  </si>
  <si>
    <t>109</t>
  </si>
  <si>
    <t>00139</t>
  </si>
  <si>
    <t>Karsog</t>
  </si>
  <si>
    <t>464</t>
  </si>
  <si>
    <t>523.52158737000639</t>
  </si>
  <si>
    <t>178</t>
  </si>
  <si>
    <t>028</t>
  </si>
  <si>
    <t>00140</t>
  </si>
  <si>
    <t>Tira Sujanpur</t>
  </si>
  <si>
    <t>183.91157195407592</t>
  </si>
  <si>
    <t>250</t>
  </si>
  <si>
    <t>00141</t>
  </si>
  <si>
    <t>Nadaun</t>
  </si>
  <si>
    <t>359</t>
  </si>
  <si>
    <t>182.27361751418434</t>
  </si>
  <si>
    <t>445</t>
  </si>
  <si>
    <t>00142</t>
  </si>
  <si>
    <t>Galore</t>
  </si>
  <si>
    <t>78.181612859074747</t>
  </si>
  <si>
    <t>00143</t>
  </si>
  <si>
    <t>Hamirpur</t>
  </si>
  <si>
    <t>229.77429627103999</t>
  </si>
  <si>
    <t>509</t>
  </si>
  <si>
    <t>00144</t>
  </si>
  <si>
    <t>Barsar</t>
  </si>
  <si>
    <t>233</t>
  </si>
  <si>
    <t>167.89033008888643</t>
  </si>
  <si>
    <t>331</t>
  </si>
  <si>
    <t>00145</t>
  </si>
  <si>
    <t>Dhatwal</t>
  </si>
  <si>
    <t>119.34545537659989</t>
  </si>
  <si>
    <t>315</t>
  </si>
  <si>
    <t>00146</t>
  </si>
  <si>
    <t>Bhoranj</t>
  </si>
  <si>
    <t>273</t>
  </si>
  <si>
    <t>156.61915609938254</t>
  </si>
  <si>
    <t>578</t>
  </si>
  <si>
    <t>029</t>
  </si>
  <si>
    <t>00147</t>
  </si>
  <si>
    <t>Bharwain</t>
  </si>
  <si>
    <t>80.610585153124759</t>
  </si>
  <si>
    <t>221</t>
  </si>
  <si>
    <t>00148</t>
  </si>
  <si>
    <t>Amb</t>
  </si>
  <si>
    <t>508.54079335741932</t>
  </si>
  <si>
    <t>332</t>
  </si>
  <si>
    <t>00149</t>
  </si>
  <si>
    <t>Bangana</t>
  </si>
  <si>
    <t>44</t>
  </si>
  <si>
    <t>417.22171543439765</t>
  </si>
  <si>
    <t>175</t>
  </si>
  <si>
    <t>00150</t>
  </si>
  <si>
    <t>Una</t>
  </si>
  <si>
    <t>139</t>
  </si>
  <si>
    <t>335.71022457979012</t>
  </si>
  <si>
    <t>566</t>
  </si>
  <si>
    <t>00151</t>
  </si>
  <si>
    <t>Haroli</t>
  </si>
  <si>
    <t>197.91260251209144</t>
  </si>
  <si>
    <t>361</t>
  </si>
  <si>
    <t>030</t>
  </si>
  <si>
    <t>00152</t>
  </si>
  <si>
    <t>Ghumarwin</t>
  </si>
  <si>
    <t>210</t>
  </si>
  <si>
    <t>192.29060427725517</t>
  </si>
  <si>
    <t>466</t>
  </si>
  <si>
    <t>00153</t>
  </si>
  <si>
    <t>Bharari</t>
  </si>
  <si>
    <t>95.205570776593262</t>
  </si>
  <si>
    <t>480</t>
  </si>
  <si>
    <t>00154</t>
  </si>
  <si>
    <t>Jhanduta</t>
  </si>
  <si>
    <t>227</t>
  </si>
  <si>
    <t>329.30651794829407</t>
  </si>
  <si>
    <t>278</t>
  </si>
  <si>
    <t>00155</t>
  </si>
  <si>
    <t>Naina Devi</t>
  </si>
  <si>
    <t>142</t>
  </si>
  <si>
    <t>269.07127818510969</t>
  </si>
  <si>
    <t>174</t>
  </si>
  <si>
    <t>00156</t>
  </si>
  <si>
    <t>Bilaspur Sadar</t>
  </si>
  <si>
    <t>180.27436718894731</t>
  </si>
  <si>
    <t>00157</t>
  </si>
  <si>
    <t>Namhol</t>
  </si>
  <si>
    <t>100.86449952501859</t>
  </si>
  <si>
    <t>325</t>
  </si>
  <si>
    <t>031</t>
  </si>
  <si>
    <t>00158</t>
  </si>
  <si>
    <t>Arki</t>
  </si>
  <si>
    <t>297</t>
  </si>
  <si>
    <t>230.19395564347604</t>
  </si>
  <si>
    <t>247</t>
  </si>
  <si>
    <t>00159</t>
  </si>
  <si>
    <t>Darlaghat</t>
  </si>
  <si>
    <t>157.21768350546151</t>
  </si>
  <si>
    <t>234</t>
  </si>
  <si>
    <t>00160</t>
  </si>
  <si>
    <t>Ramshahr</t>
  </si>
  <si>
    <t>217</t>
  </si>
  <si>
    <t>24</t>
  </si>
  <si>
    <t>188.78890551409035</t>
  </si>
  <si>
    <t>00161</t>
  </si>
  <si>
    <t>Nalagarh</t>
  </si>
  <si>
    <t>348.00424625036527</t>
  </si>
  <si>
    <t>328</t>
  </si>
  <si>
    <t>00162</t>
  </si>
  <si>
    <t>Baddi</t>
  </si>
  <si>
    <t>231.50170032550338</t>
  </si>
  <si>
    <t>393</t>
  </si>
  <si>
    <t>00163</t>
  </si>
  <si>
    <t>Krishangarh</t>
  </si>
  <si>
    <t>211</t>
  </si>
  <si>
    <t>121.16717853083348</t>
  </si>
  <si>
    <t>202</t>
  </si>
  <si>
    <t>00164</t>
  </si>
  <si>
    <t>Kasauli</t>
  </si>
  <si>
    <t>265</t>
  </si>
  <si>
    <t>9</t>
  </si>
  <si>
    <t>168.02974583718373</t>
  </si>
  <si>
    <t>400</t>
  </si>
  <si>
    <t>00165</t>
  </si>
  <si>
    <t>Solan</t>
  </si>
  <si>
    <t>472</t>
  </si>
  <si>
    <t>260.84872665446363</t>
  </si>
  <si>
    <t>447</t>
  </si>
  <si>
    <t>00166</t>
  </si>
  <si>
    <t>Kandaghat</t>
  </si>
  <si>
    <t>267</t>
  </si>
  <si>
    <t>230.26603605902085</t>
  </si>
  <si>
    <t>032</t>
  </si>
  <si>
    <t>00167</t>
  </si>
  <si>
    <t>Rajgarh</t>
  </si>
  <si>
    <t>140</t>
  </si>
  <si>
    <t>379.07150036396888</t>
  </si>
  <si>
    <t>129</t>
  </si>
  <si>
    <t>00168</t>
  </si>
  <si>
    <t>Nohra</t>
  </si>
  <si>
    <t>47</t>
  </si>
  <si>
    <t>181.9244074955065</t>
  </si>
  <si>
    <t>127</t>
  </si>
  <si>
    <t>00169</t>
  </si>
  <si>
    <t>Pachhad</t>
  </si>
  <si>
    <t>262</t>
  </si>
  <si>
    <t>394.07906030433242</t>
  </si>
  <si>
    <t>137</t>
  </si>
  <si>
    <t>00170</t>
  </si>
  <si>
    <t>Renuka</t>
  </si>
  <si>
    <t>296.56577493073445</t>
  </si>
  <si>
    <t>00171</t>
  </si>
  <si>
    <t>Dadahu</t>
  </si>
  <si>
    <t>72</t>
  </si>
  <si>
    <t>131.74896136042059</t>
  </si>
  <si>
    <t>00172</t>
  </si>
  <si>
    <t>Nahan</t>
  </si>
  <si>
    <t>298</t>
  </si>
  <si>
    <t>00173</t>
  </si>
  <si>
    <t>Paonta Sahib</t>
  </si>
  <si>
    <t>141</t>
  </si>
  <si>
    <t>737</t>
  </si>
  <si>
    <t>214</t>
  </si>
  <si>
    <t>00174</t>
  </si>
  <si>
    <t>Kamrau</t>
  </si>
  <si>
    <t>45</t>
  </si>
  <si>
    <t>164.08948472678773</t>
  </si>
  <si>
    <t>00175</t>
  </si>
  <si>
    <t>Shalai</t>
  </si>
  <si>
    <t>126.5654628417694</t>
  </si>
  <si>
    <t>00176</t>
  </si>
  <si>
    <t>Ronhat</t>
  </si>
  <si>
    <t>22</t>
  </si>
  <si>
    <t>115.97309630365612</t>
  </si>
  <si>
    <t>201</t>
  </si>
  <si>
    <t>033</t>
  </si>
  <si>
    <t>00177</t>
  </si>
  <si>
    <t>Rampur</t>
  </si>
  <si>
    <t>832.15930222066447</t>
  </si>
  <si>
    <t>00178</t>
  </si>
  <si>
    <t>Nankhari</t>
  </si>
  <si>
    <t>157.25700144452148</t>
  </si>
  <si>
    <t>167</t>
  </si>
  <si>
    <t>00179</t>
  </si>
  <si>
    <t>Kumharsain</t>
  </si>
  <si>
    <t>171</t>
  </si>
  <si>
    <t>227.2853501174362</t>
  </si>
  <si>
    <t>189</t>
  </si>
  <si>
    <t>00180</t>
  </si>
  <si>
    <t>Seoni</t>
  </si>
  <si>
    <t>199</t>
  </si>
  <si>
    <t>247.24670184195864</t>
  </si>
  <si>
    <t>00181</t>
  </si>
  <si>
    <t>Shimla   ( Rural )</t>
  </si>
  <si>
    <t>356.6</t>
  </si>
  <si>
    <t>237</t>
  </si>
  <si>
    <t>00182</t>
  </si>
  <si>
    <t>Shimla (urban)</t>
  </si>
  <si>
    <t>35.340000000000003</t>
  </si>
  <si>
    <t>00183</t>
  </si>
  <si>
    <t>Junga</t>
  </si>
  <si>
    <t>106.56621225473781</t>
  </si>
  <si>
    <t>00184</t>
  </si>
  <si>
    <t>Theog</t>
  </si>
  <si>
    <t>446</t>
  </si>
  <si>
    <t>40</t>
  </si>
  <si>
    <t>470.0632452464767</t>
  </si>
  <si>
    <t>00185</t>
  </si>
  <si>
    <t>Chaupal</t>
  </si>
  <si>
    <t>158</t>
  </si>
  <si>
    <t>320.09745475461119</t>
  </si>
  <si>
    <t>00186</t>
  </si>
  <si>
    <t>Cheta</t>
  </si>
  <si>
    <t>58</t>
  </si>
  <si>
    <t>166.37868471207986</t>
  </si>
  <si>
    <t>117</t>
  </si>
  <si>
    <t>00187</t>
  </si>
  <si>
    <t>Nerua</t>
  </si>
  <si>
    <t>355.64338641159884</t>
  </si>
  <si>
    <t>00188</t>
  </si>
  <si>
    <t>Jubbal</t>
  </si>
  <si>
    <t>311.44617219367575</t>
  </si>
  <si>
    <t>00189</t>
  </si>
  <si>
    <t>Kotkhai</t>
  </si>
  <si>
    <t>219</t>
  </si>
  <si>
    <t>243.63688772374326</t>
  </si>
  <si>
    <t>00190</t>
  </si>
  <si>
    <t>Tikar</t>
  </si>
  <si>
    <t>69.742017808013813</t>
  </si>
  <si>
    <t>00191</t>
  </si>
  <si>
    <t>Rohru</t>
  </si>
  <si>
    <t>231.8666439558512</t>
  </si>
  <si>
    <t>213</t>
  </si>
  <si>
    <t>00192</t>
  </si>
  <si>
    <t>Chirgaon</t>
  </si>
  <si>
    <t>645.32841287280337</t>
  </si>
  <si>
    <t>00193</t>
  </si>
  <si>
    <t>Dodra Kwar</t>
  </si>
  <si>
    <t>354.35489751954464</t>
  </si>
  <si>
    <t>034</t>
  </si>
  <si>
    <t>00194</t>
  </si>
  <si>
    <t>Hangrang</t>
  </si>
  <si>
    <t>1113</t>
  </si>
  <si>
    <t>553</t>
  </si>
  <si>
    <t>00195</t>
  </si>
  <si>
    <t>Poo</t>
  </si>
  <si>
    <t>1290</t>
  </si>
  <si>
    <t>00196</t>
  </si>
  <si>
    <t>Morang</t>
  </si>
  <si>
    <t>1660</t>
  </si>
  <si>
    <t>00197</t>
  </si>
  <si>
    <t>Kalpa</t>
  </si>
  <si>
    <t>376.35</t>
  </si>
  <si>
    <t>00198</t>
  </si>
  <si>
    <t>Nichar</t>
  </si>
  <si>
    <t>85</t>
  </si>
  <si>
    <t>1141.32</t>
  </si>
  <si>
    <t>00199</t>
  </si>
  <si>
    <t>Sangla</t>
  </si>
  <si>
    <t>1380.33</t>
  </si>
  <si>
    <t>03</t>
  </si>
  <si>
    <t>035</t>
  </si>
  <si>
    <t>00200</t>
  </si>
  <si>
    <t>Dhar Kalan</t>
  </si>
  <si>
    <t>263.91371553122752</t>
  </si>
  <si>
    <t>00201</t>
  </si>
  <si>
    <t>Pathankot</t>
  </si>
  <si>
    <t>336</t>
  </si>
  <si>
    <t>687.37286192981344</t>
  </si>
  <si>
    <t>00202</t>
  </si>
  <si>
    <t>Gurdaspur</t>
  </si>
  <si>
    <t>676</t>
  </si>
  <si>
    <t>1352.6036033812893</t>
  </si>
  <si>
    <t>607</t>
  </si>
  <si>
    <t>00203</t>
  </si>
  <si>
    <t>Batala</t>
  </si>
  <si>
    <t>358</t>
  </si>
  <si>
    <t>950.76738291189361</t>
  </si>
  <si>
    <t>00204</t>
  </si>
  <si>
    <t>Dera Baba Nanak</t>
  </si>
  <si>
    <t>296.33792413973543</t>
  </si>
  <si>
    <t>419</t>
  </si>
  <si>
    <t>036</t>
  </si>
  <si>
    <t>00205</t>
  </si>
  <si>
    <t>Bhulath</t>
  </si>
  <si>
    <t>234.9931417477361</t>
  </si>
  <si>
    <t>444</t>
  </si>
  <si>
    <t>00206</t>
  </si>
  <si>
    <t>Kapurthala</t>
  </si>
  <si>
    <t>656.54517710748155</t>
  </si>
  <si>
    <t>520</t>
  </si>
  <si>
    <t>00207</t>
  </si>
  <si>
    <t>Sultanpur Lodhi</t>
  </si>
  <si>
    <t>444.91925613051257</t>
  </si>
  <si>
    <t>274</t>
  </si>
  <si>
    <t>00208</t>
  </si>
  <si>
    <t>Phagwara</t>
  </si>
  <si>
    <t>296.54457209527374</t>
  </si>
  <si>
    <t>037</t>
  </si>
  <si>
    <t>00209</t>
  </si>
  <si>
    <t>Shahkot</t>
  </si>
  <si>
    <t>430.59147446975373</t>
  </si>
  <si>
    <t>387</t>
  </si>
  <si>
    <t>00210</t>
  </si>
  <si>
    <t>Nakodar</t>
  </si>
  <si>
    <t>445.44156075325731</t>
  </si>
  <si>
    <t>467</t>
  </si>
  <si>
    <t>00211</t>
  </si>
  <si>
    <t>Phillaur</t>
  </si>
  <si>
    <t>225</t>
  </si>
  <si>
    <t>744.63011419795441</t>
  </si>
  <si>
    <t>513</t>
  </si>
  <si>
    <t>00212</t>
  </si>
  <si>
    <t>Jalandhar - I</t>
  </si>
  <si>
    <t>468.0523428136878</t>
  </si>
  <si>
    <t>00213</t>
  </si>
  <si>
    <t>Jalandhar - II</t>
  </si>
  <si>
    <t>535.29475406042889</t>
  </si>
  <si>
    <t>545</t>
  </si>
  <si>
    <t>038</t>
  </si>
  <si>
    <t>00214</t>
  </si>
  <si>
    <t>Dasua</t>
  </si>
  <si>
    <t>379</t>
  </si>
  <si>
    <t>842.37385914916933</t>
  </si>
  <si>
    <t>428</t>
  </si>
  <si>
    <t>00215</t>
  </si>
  <si>
    <t>Mukerian</t>
  </si>
  <si>
    <t>628.97316327851593</t>
  </si>
  <si>
    <t>533</t>
  </si>
  <si>
    <t>00216</t>
  </si>
  <si>
    <t>Hoshiarpur</t>
  </si>
  <si>
    <t>406</t>
  </si>
  <si>
    <t>1118.9858312539009</t>
  </si>
  <si>
    <t>501</t>
  </si>
  <si>
    <t>00217</t>
  </si>
  <si>
    <t>Garhshankar</t>
  </si>
  <si>
    <t>296</t>
  </si>
  <si>
    <t>795.66848808283135</t>
  </si>
  <si>
    <t>416</t>
  </si>
  <si>
    <t>039</t>
  </si>
  <si>
    <t>00218</t>
  </si>
  <si>
    <t>Nawanshahr</t>
  </si>
  <si>
    <t>275</t>
  </si>
  <si>
    <t>774.68726595927569</t>
  </si>
  <si>
    <t>547</t>
  </si>
  <si>
    <t>00219</t>
  </si>
  <si>
    <t>Balachaur</t>
  </si>
  <si>
    <t>183</t>
  </si>
  <si>
    <t>507.3156709445866</t>
  </si>
  <si>
    <t>372</t>
  </si>
  <si>
    <t>040</t>
  </si>
  <si>
    <t>00220</t>
  </si>
  <si>
    <t>Bassi Pathana</t>
  </si>
  <si>
    <t>100</t>
  </si>
  <si>
    <t>225.35576059994673</t>
  </si>
  <si>
    <t>427</t>
  </si>
  <si>
    <t>00221</t>
  </si>
  <si>
    <t>Fatehgarh Sahib</t>
  </si>
  <si>
    <t>170</t>
  </si>
  <si>
    <t>483.51375768311453</t>
  </si>
  <si>
    <t>418</t>
  </si>
  <si>
    <t>00222</t>
  </si>
  <si>
    <t>Amloh</t>
  </si>
  <si>
    <t>270.84348228344345</t>
  </si>
  <si>
    <t>00223</t>
  </si>
  <si>
    <t>Khamanon</t>
  </si>
  <si>
    <t>200.27785421392321</t>
  </si>
  <si>
    <t>041</t>
  </si>
  <si>
    <t>00224</t>
  </si>
  <si>
    <t>Samrala</t>
  </si>
  <si>
    <t>491.5808544642893</t>
  </si>
  <si>
    <t>454</t>
  </si>
  <si>
    <t>00225</t>
  </si>
  <si>
    <t>Khanna</t>
  </si>
  <si>
    <t>67</t>
  </si>
  <si>
    <t>212.39822945194064</t>
  </si>
  <si>
    <t>00226</t>
  </si>
  <si>
    <t>Payal</t>
  </si>
  <si>
    <t>105</t>
  </si>
  <si>
    <t>428.98042178050798</t>
  </si>
  <si>
    <t>498</t>
  </si>
  <si>
    <t>00227</t>
  </si>
  <si>
    <t>Ludhiana (East)</t>
  </si>
  <si>
    <t>634</t>
  </si>
  <si>
    <t>00228</t>
  </si>
  <si>
    <t>Ludhiana (West)</t>
  </si>
  <si>
    <t>125</t>
  </si>
  <si>
    <t>543</t>
  </si>
  <si>
    <t>00229</t>
  </si>
  <si>
    <t>Raikot</t>
  </si>
  <si>
    <t>482.89490777979574</t>
  </si>
  <si>
    <t>417</t>
  </si>
  <si>
    <t>00230</t>
  </si>
  <si>
    <t>Jagraon</t>
  </si>
  <si>
    <t>784.33899797894719</t>
  </si>
  <si>
    <t>435</t>
  </si>
  <si>
    <t>042</t>
  </si>
  <si>
    <t>00231</t>
  </si>
  <si>
    <t>Nihal Singhwala</t>
  </si>
  <si>
    <t>421.03931690643924</t>
  </si>
  <si>
    <t>405</t>
  </si>
  <si>
    <t>00232</t>
  </si>
  <si>
    <t>Bagha Purana</t>
  </si>
  <si>
    <t>56</t>
  </si>
  <si>
    <t>586.44247556407856</t>
  </si>
  <si>
    <t>385</t>
  </si>
  <si>
    <t>00233</t>
  </si>
  <si>
    <t>Moga</t>
  </si>
  <si>
    <t>224</t>
  </si>
  <si>
    <t>1234.5150158432141</t>
  </si>
  <si>
    <t>486</t>
  </si>
  <si>
    <t>043</t>
  </si>
  <si>
    <t>00234</t>
  </si>
  <si>
    <t>Zira</t>
  </si>
  <si>
    <t>739.96923596520185</t>
  </si>
  <si>
    <t>349</t>
  </si>
  <si>
    <t>00235</t>
  </si>
  <si>
    <t>Firozpur</t>
  </si>
  <si>
    <t>1293.0604713666817</t>
  </si>
  <si>
    <t>00236</t>
  </si>
  <si>
    <t>Jalalabad</t>
  </si>
  <si>
    <t>909.99792091069799</t>
  </si>
  <si>
    <t>391</t>
  </si>
  <si>
    <t>00237</t>
  </si>
  <si>
    <t>Fazilka</t>
  </si>
  <si>
    <t>135</t>
  </si>
  <si>
    <t>1153.2339771629686</t>
  </si>
  <si>
    <t>350</t>
  </si>
  <si>
    <t>00238</t>
  </si>
  <si>
    <t>Abohar</t>
  </si>
  <si>
    <t>76</t>
  </si>
  <si>
    <t>1208.7308917207827</t>
  </si>
  <si>
    <t>367</t>
  </si>
  <si>
    <t>044</t>
  </si>
  <si>
    <t>00239</t>
  </si>
  <si>
    <t>Malout</t>
  </si>
  <si>
    <t>91</t>
  </si>
  <si>
    <t>1054.6323085184442</t>
  </si>
  <si>
    <t>330</t>
  </si>
  <si>
    <t>00240</t>
  </si>
  <si>
    <t>Gidderbaha</t>
  </si>
  <si>
    <t>653.79981829726239</t>
  </si>
  <si>
    <t>00241</t>
  </si>
  <si>
    <t>Muktsar</t>
  </si>
  <si>
    <t>884.57879928111061</t>
  </si>
  <si>
    <t>045</t>
  </si>
  <si>
    <t>00242</t>
  </si>
  <si>
    <t>Faridkot</t>
  </si>
  <si>
    <t>1053.4788569012405</t>
  </si>
  <si>
    <t>433</t>
  </si>
  <si>
    <t>00243</t>
  </si>
  <si>
    <t>Jaitu</t>
  </si>
  <si>
    <t>404.51763899194816</t>
  </si>
  <si>
    <t>398</t>
  </si>
  <si>
    <t>046</t>
  </si>
  <si>
    <t>00244</t>
  </si>
  <si>
    <t>Rampura Phul</t>
  </si>
  <si>
    <t>881.92644394424497</t>
  </si>
  <si>
    <t>00245</t>
  </si>
  <si>
    <t>Bathinda</t>
  </si>
  <si>
    <t>1511.9819566419774</t>
  </si>
  <si>
    <t>500</t>
  </si>
  <si>
    <t>00246</t>
  </si>
  <si>
    <t>Talwandi Sabo</t>
  </si>
  <si>
    <t>959.08645978170352</t>
  </si>
  <si>
    <t>329</t>
  </si>
  <si>
    <t>047</t>
  </si>
  <si>
    <t>00247</t>
  </si>
  <si>
    <t>Sardulgarh</t>
  </si>
  <si>
    <t>590.30257116878943</t>
  </si>
  <si>
    <t>295</t>
  </si>
  <si>
    <t>00248</t>
  </si>
  <si>
    <t>Budhlada</t>
  </si>
  <si>
    <t>712.9864025006201</t>
  </si>
  <si>
    <t>357</t>
  </si>
  <si>
    <t>00249</t>
  </si>
  <si>
    <t>Mansa</t>
  </si>
  <si>
    <t>83</t>
  </si>
  <si>
    <t>894.71388888117895</t>
  </si>
  <si>
    <t>048</t>
  </si>
  <si>
    <t>00250</t>
  </si>
  <si>
    <t>Samana</t>
  </si>
  <si>
    <t>73</t>
  </si>
  <si>
    <t>420.02164408411016</t>
  </si>
  <si>
    <t>414</t>
  </si>
  <si>
    <t>00251</t>
  </si>
  <si>
    <t>Patran</t>
  </si>
  <si>
    <t>405.44449576460369</t>
  </si>
  <si>
    <t>478</t>
  </si>
  <si>
    <t>00252</t>
  </si>
  <si>
    <t>Nabha</t>
  </si>
  <si>
    <t>169</t>
  </si>
  <si>
    <t>628.40931470729095</t>
  </si>
  <si>
    <t>00253</t>
  </si>
  <si>
    <t>Patiala</t>
  </si>
  <si>
    <t>1147.7449350295806</t>
  </si>
  <si>
    <t>00254</t>
  </si>
  <si>
    <t>Rajpura</t>
  </si>
  <si>
    <t>240</t>
  </si>
  <si>
    <t>723.38448234501777</t>
  </si>
  <si>
    <t>541</t>
  </si>
  <si>
    <t>049</t>
  </si>
  <si>
    <t>00255</t>
  </si>
  <si>
    <t>Ajnala</t>
  </si>
  <si>
    <t>311</t>
  </si>
  <si>
    <t>1097.7762946703344</t>
  </si>
  <si>
    <t>403</t>
  </si>
  <si>
    <t>00256</t>
  </si>
  <si>
    <t>Amritsar -I</t>
  </si>
  <si>
    <t>490.54283749366135</t>
  </si>
  <si>
    <t>637</t>
  </si>
  <si>
    <t>00257</t>
  </si>
  <si>
    <t>Amritsar- II</t>
  </si>
  <si>
    <t>561.73036001981848</t>
  </si>
  <si>
    <t>00258</t>
  </si>
  <si>
    <t>Baba Bakala</t>
  </si>
  <si>
    <t>153</t>
  </si>
  <si>
    <t>532.96462255957954</t>
  </si>
  <si>
    <t>601</t>
  </si>
  <si>
    <t>050</t>
  </si>
  <si>
    <t>00259</t>
  </si>
  <si>
    <t>Tarn Taran</t>
  </si>
  <si>
    <t>950.88098800583612</t>
  </si>
  <si>
    <t>519</t>
  </si>
  <si>
    <t>00260</t>
  </si>
  <si>
    <t>Patti</t>
  </si>
  <si>
    <t>1093.1115800094599</t>
  </si>
  <si>
    <t>401</t>
  </si>
  <si>
    <t>00261</t>
  </si>
  <si>
    <t>Khadur Sahib</t>
  </si>
  <si>
    <t>370.00389350827766</t>
  </si>
  <si>
    <t>508</t>
  </si>
  <si>
    <t>051</t>
  </si>
  <si>
    <t>00262</t>
  </si>
  <si>
    <t>Anandpur Sahib</t>
  </si>
  <si>
    <t>400.2683174797267</t>
  </si>
  <si>
    <t>00263</t>
  </si>
  <si>
    <t>Nangal</t>
  </si>
  <si>
    <t>242.70138217232778</t>
  </si>
  <si>
    <t>550</t>
  </si>
  <si>
    <t>00264</t>
  </si>
  <si>
    <t>Rup Nagar</t>
  </si>
  <si>
    <t>351.78462892685684</t>
  </si>
  <si>
    <t>515</t>
  </si>
  <si>
    <t>00265</t>
  </si>
  <si>
    <t>Chamkaur Sahib</t>
  </si>
  <si>
    <t>361.25299411527681</t>
  </si>
  <si>
    <t>052</t>
  </si>
  <si>
    <t>00266</t>
  </si>
  <si>
    <t>Kharar</t>
  </si>
  <si>
    <t>517.9523218286655</t>
  </si>
  <si>
    <t>00267</t>
  </si>
  <si>
    <t>SAS Nagar (Mohali)</t>
  </si>
  <si>
    <t>187.431460054811</t>
  </si>
  <si>
    <t>00268</t>
  </si>
  <si>
    <t>Dera Bassi</t>
  </si>
  <si>
    <t>388.62389338176723</t>
  </si>
  <si>
    <t>053</t>
  </si>
  <si>
    <t>00269</t>
  </si>
  <si>
    <t>Malerkotla</t>
  </si>
  <si>
    <t>683.54853319926633</t>
  </si>
  <si>
    <t>629</t>
  </si>
  <si>
    <t>00270</t>
  </si>
  <si>
    <t>Dhuri</t>
  </si>
  <si>
    <t>605.24501136889091</t>
  </si>
  <si>
    <t>432</t>
  </si>
  <si>
    <t>00271</t>
  </si>
  <si>
    <t>Sangrur</t>
  </si>
  <si>
    <t>783.06612758868675</t>
  </si>
  <si>
    <t>00272</t>
  </si>
  <si>
    <t>Sunam</t>
  </si>
  <si>
    <t>81</t>
  </si>
  <si>
    <t>769.56907316792467</t>
  </si>
  <si>
    <t>00273</t>
  </si>
  <si>
    <t>Lehra</t>
  </si>
  <si>
    <t>441.38458884385273</t>
  </si>
  <si>
    <t>300</t>
  </si>
  <si>
    <t>00274</t>
  </si>
  <si>
    <t>Moonak</t>
  </si>
  <si>
    <t>342.1863903987404</t>
  </si>
  <si>
    <t>054</t>
  </si>
  <si>
    <t>00275</t>
  </si>
  <si>
    <t>Barnala</t>
  </si>
  <si>
    <t>897.50428841901328</t>
  </si>
  <si>
    <t>00276</t>
  </si>
  <si>
    <t>Tapa</t>
  </si>
  <si>
    <t>584.48624613462255</t>
  </si>
  <si>
    <t>04</t>
  </si>
  <si>
    <t>055</t>
  </si>
  <si>
    <t>00277</t>
  </si>
  <si>
    <t>Chandigarh</t>
  </si>
  <si>
    <t>114</t>
  </si>
  <si>
    <t>05</t>
  </si>
  <si>
    <t>056</t>
  </si>
  <si>
    <t>00278</t>
  </si>
  <si>
    <t>Puraula</t>
  </si>
  <si>
    <t>332.34</t>
  </si>
  <si>
    <t>00279</t>
  </si>
  <si>
    <t>Mori</t>
  </si>
  <si>
    <t>99</t>
  </si>
  <si>
    <t>1738</t>
  </si>
  <si>
    <t>00280</t>
  </si>
  <si>
    <t>Rajgarhi</t>
  </si>
  <si>
    <t>182</t>
  </si>
  <si>
    <t>889.01291822750591</t>
  </si>
  <si>
    <t>79</t>
  </si>
  <si>
    <t>00281</t>
  </si>
  <si>
    <t>Dunda</t>
  </si>
  <si>
    <t>444.67051390582304</t>
  </si>
  <si>
    <t>136</t>
  </si>
  <si>
    <t>00282</t>
  </si>
  <si>
    <t>Chiniyalisaur</t>
  </si>
  <si>
    <t>293.92466684247199</t>
  </si>
  <si>
    <t>00283</t>
  </si>
  <si>
    <t>Bhatwari</t>
  </si>
  <si>
    <t>4318.0554218018115</t>
  </si>
  <si>
    <t>057</t>
  </si>
  <si>
    <t>00284</t>
  </si>
  <si>
    <t>Joshimath</t>
  </si>
  <si>
    <t>4676.6303566935403</t>
  </si>
  <si>
    <t>00285</t>
  </si>
  <si>
    <t>Chamoli</t>
  </si>
  <si>
    <t>1230.0602882964617</t>
  </si>
  <si>
    <t>00286</t>
  </si>
  <si>
    <t>Pokhari</t>
  </si>
  <si>
    <t>253.79028534443469</t>
  </si>
  <si>
    <t>00287</t>
  </si>
  <si>
    <t>Karnaprayag</t>
  </si>
  <si>
    <t>304.63493142637918</t>
  </si>
  <si>
    <t>00288</t>
  </si>
  <si>
    <t>Tharali</t>
  </si>
  <si>
    <t>1064.2951264700102</t>
  </si>
  <si>
    <t>00289</t>
  </si>
  <si>
    <t>Gairsain</t>
  </si>
  <si>
    <t>220</t>
  </si>
  <si>
    <t>500.579532194097</t>
  </si>
  <si>
    <t>058</t>
  </si>
  <si>
    <t>00290</t>
  </si>
  <si>
    <t>Ukhimath</t>
  </si>
  <si>
    <t>232</t>
  </si>
  <si>
    <t>1125.4062090652133</t>
  </si>
  <si>
    <t>00291</t>
  </si>
  <si>
    <t>Rudraprayag</t>
  </si>
  <si>
    <t>284</t>
  </si>
  <si>
    <t>354.19759720158544</t>
  </si>
  <si>
    <t>259</t>
  </si>
  <si>
    <t>00292</t>
  </si>
  <si>
    <t>Jakholi</t>
  </si>
  <si>
    <t>504.39245937256891</t>
  </si>
  <si>
    <t>059</t>
  </si>
  <si>
    <t>00293</t>
  </si>
  <si>
    <t>Ghansali</t>
  </si>
  <si>
    <t>1299.647327876675</t>
  </si>
  <si>
    <t>00294</t>
  </si>
  <si>
    <t>Devprayag</t>
  </si>
  <si>
    <t>476.99272567154713</t>
  </si>
  <si>
    <t>00295</t>
  </si>
  <si>
    <t>Pratapnagar</t>
  </si>
  <si>
    <t>147</t>
  </si>
  <si>
    <t>218.25335025011381</t>
  </si>
  <si>
    <t>337</t>
  </si>
  <si>
    <t>00296</t>
  </si>
  <si>
    <t>Jakhnidhar</t>
  </si>
  <si>
    <t>137.16650021417252</t>
  </si>
  <si>
    <t>239</t>
  </si>
  <si>
    <t>00297</t>
  </si>
  <si>
    <t>Tehri</t>
  </si>
  <si>
    <t>453.43008862122582</t>
  </si>
  <si>
    <t>00298</t>
  </si>
  <si>
    <t>Dhanaulti</t>
  </si>
  <si>
    <t>555.28611650379628</t>
  </si>
  <si>
    <t>133</t>
  </si>
  <si>
    <t>00299</t>
  </si>
  <si>
    <t>Narendranagar</t>
  </si>
  <si>
    <t>248</t>
  </si>
  <si>
    <t>501.21546095835731</t>
  </si>
  <si>
    <t>060</t>
  </si>
  <si>
    <t>00300</t>
  </si>
  <si>
    <t>Chakrata</t>
  </si>
  <si>
    <t>110</t>
  </si>
  <si>
    <t>454.31846241778612</t>
  </si>
  <si>
    <t>00301</t>
  </si>
  <si>
    <t>Tyuni</t>
  </si>
  <si>
    <t>503.10831913329685</t>
  </si>
  <si>
    <t>00302</t>
  </si>
  <si>
    <t>Kalsi</t>
  </si>
  <si>
    <t>266.728111859617</t>
  </si>
  <si>
    <t>00303</t>
  </si>
  <si>
    <t>Vikasnagar</t>
  </si>
  <si>
    <t>696.89712947544911</t>
  </si>
  <si>
    <t>00304</t>
  </si>
  <si>
    <t>Dehradun</t>
  </si>
  <si>
    <t>666.23214196326853</t>
  </si>
  <si>
    <t>00305</t>
  </si>
  <si>
    <t>Rishikesh</t>
  </si>
  <si>
    <t>500.72508294572577</t>
  </si>
  <si>
    <t>061</t>
  </si>
  <si>
    <t>00306</t>
  </si>
  <si>
    <t>Srinagar</t>
  </si>
  <si>
    <t>141.86244963572264</t>
  </si>
  <si>
    <t>378</t>
  </si>
  <si>
    <t>00307</t>
  </si>
  <si>
    <t>Pauri</t>
  </si>
  <si>
    <t>732</t>
  </si>
  <si>
    <t>111</t>
  </si>
  <si>
    <t>767.20999025175774</t>
  </si>
  <si>
    <t>00308</t>
  </si>
  <si>
    <t>THALISAIN</t>
  </si>
  <si>
    <t>402</t>
  </si>
  <si>
    <t>829.20990418479323</t>
  </si>
  <si>
    <t>00309</t>
  </si>
  <si>
    <t>Dhoomakot</t>
  </si>
  <si>
    <t>376.34051609804663</t>
  </si>
  <si>
    <t>00310</t>
  </si>
  <si>
    <t>Lansdowne</t>
  </si>
  <si>
    <t>483</t>
  </si>
  <si>
    <t>21</t>
  </si>
  <si>
    <t>975.34068960384536</t>
  </si>
  <si>
    <t>00311</t>
  </si>
  <si>
    <t>Satpuli</t>
  </si>
  <si>
    <t>234.50922219796874</t>
  </si>
  <si>
    <t>00312</t>
  </si>
  <si>
    <t>Chaubattakhal</t>
  </si>
  <si>
    <t>242.79664787946996</t>
  </si>
  <si>
    <t>00313</t>
  </si>
  <si>
    <t>Kotdwara</t>
  </si>
  <si>
    <t>301</t>
  </si>
  <si>
    <t>1204.73</t>
  </si>
  <si>
    <t>145</t>
  </si>
  <si>
    <t>00314</t>
  </si>
  <si>
    <t>Yamkeshwar</t>
  </si>
  <si>
    <t>557</t>
  </si>
  <si>
    <t>062</t>
  </si>
  <si>
    <t>00315</t>
  </si>
  <si>
    <t>Munsiari</t>
  </si>
  <si>
    <t>2738.3058899214088</t>
  </si>
  <si>
    <t>00316</t>
  </si>
  <si>
    <t>Dharchula</t>
  </si>
  <si>
    <t>71</t>
  </si>
  <si>
    <t>2690.2668530595311</t>
  </si>
  <si>
    <t>00317</t>
  </si>
  <si>
    <t>Didihat</t>
  </si>
  <si>
    <t>363</t>
  </si>
  <si>
    <t>539.59845630454186</t>
  </si>
  <si>
    <t>00318</t>
  </si>
  <si>
    <t>Berinag</t>
  </si>
  <si>
    <t>283</t>
  </si>
  <si>
    <t>268.72372732700501</t>
  </si>
  <si>
    <t>00319</t>
  </si>
  <si>
    <t>Gangolihat</t>
  </si>
  <si>
    <t>312</t>
  </si>
  <si>
    <t>346.80609710124037</t>
  </si>
  <si>
    <t>00320</t>
  </si>
  <si>
    <t>Pithoragarh</t>
  </si>
  <si>
    <t>324</t>
  </si>
  <si>
    <t>506.29327581884235</t>
  </si>
  <si>
    <t>063</t>
  </si>
  <si>
    <t>00321</t>
  </si>
  <si>
    <t>Kapkot</t>
  </si>
  <si>
    <t>1080</t>
  </si>
  <si>
    <t>00322</t>
  </si>
  <si>
    <t>Kanda</t>
  </si>
  <si>
    <t>293.56</t>
  </si>
  <si>
    <t>89</t>
  </si>
  <si>
    <t>00323</t>
  </si>
  <si>
    <t>Bageshwar</t>
  </si>
  <si>
    <t>493.68561235059121</t>
  </si>
  <si>
    <t>00324</t>
  </si>
  <si>
    <t>Garud</t>
  </si>
  <si>
    <t>373.74987388891475</t>
  </si>
  <si>
    <t>064</t>
  </si>
  <si>
    <t>00325</t>
  </si>
  <si>
    <t>BHIKIYASAIN</t>
  </si>
  <si>
    <t>376</t>
  </si>
  <si>
    <t>408.88787663138726</t>
  </si>
  <si>
    <t>00326</t>
  </si>
  <si>
    <t>Chaukhutiya</t>
  </si>
  <si>
    <t>164</t>
  </si>
  <si>
    <t>340.84969154092636</t>
  </si>
  <si>
    <t>00327</t>
  </si>
  <si>
    <t>Sult</t>
  </si>
  <si>
    <t>228</t>
  </si>
  <si>
    <t>406.10870719501446</t>
  </si>
  <si>
    <t>00328</t>
  </si>
  <si>
    <t>Ranikhet</t>
  </si>
  <si>
    <t>389.60867531906757</t>
  </si>
  <si>
    <t>257</t>
  </si>
  <si>
    <t>00329</t>
  </si>
  <si>
    <t>Dwarahat</t>
  </si>
  <si>
    <t>265.35921507293233</t>
  </si>
  <si>
    <t>00330</t>
  </si>
  <si>
    <t>Almora</t>
  </si>
  <si>
    <t>650.26388879043554</t>
  </si>
  <si>
    <t>253</t>
  </si>
  <si>
    <t>00331</t>
  </si>
  <si>
    <t>Someshwar</t>
  </si>
  <si>
    <t>220.29549732315354</t>
  </si>
  <si>
    <t>00332</t>
  </si>
  <si>
    <t>Jainti</t>
  </si>
  <si>
    <t>120.63653997885054</t>
  </si>
  <si>
    <t>00333</t>
  </si>
  <si>
    <t>Bhanoli</t>
  </si>
  <si>
    <t>341.99223897587962</t>
  </si>
  <si>
    <t>065</t>
  </si>
  <si>
    <t>00334</t>
  </si>
  <si>
    <t>Champawat</t>
  </si>
  <si>
    <t>186</t>
  </si>
  <si>
    <t>525.6759776685833</t>
  </si>
  <si>
    <t>00335</t>
  </si>
  <si>
    <t>Pati</t>
  </si>
  <si>
    <t>339.19591832610655</t>
  </si>
  <si>
    <t>00336</t>
  </si>
  <si>
    <t>Lohaghat</t>
  </si>
  <si>
    <t>430.38292819497065</t>
  </si>
  <si>
    <t>00337</t>
  </si>
  <si>
    <t>Poornagiri</t>
  </si>
  <si>
    <t>470.75383889529269</t>
  </si>
  <si>
    <t>155</t>
  </si>
  <si>
    <t>066</t>
  </si>
  <si>
    <t>00338</t>
  </si>
  <si>
    <t>Kosya Kutauli</t>
  </si>
  <si>
    <t>212.52701253267858</t>
  </si>
  <si>
    <t>148</t>
  </si>
  <si>
    <t>00339</t>
  </si>
  <si>
    <t>Betalghat</t>
  </si>
  <si>
    <t>209.85609652451797</t>
  </si>
  <si>
    <t>00340</t>
  </si>
  <si>
    <t>Nainital</t>
  </si>
  <si>
    <t>826.09206369067033</t>
  </si>
  <si>
    <t>00341</t>
  </si>
  <si>
    <t>Dhari</t>
  </si>
  <si>
    <t>693.9039789201222</t>
  </si>
  <si>
    <t>00342</t>
  </si>
  <si>
    <t>Haldwani</t>
  </si>
  <si>
    <t>958.55836887873511</t>
  </si>
  <si>
    <t>380</t>
  </si>
  <si>
    <t>00343</t>
  </si>
  <si>
    <t>836.78685654001333</t>
  </si>
  <si>
    <t>00344</t>
  </si>
  <si>
    <t>Kaladhungi</t>
  </si>
  <si>
    <t>406.6914775092531</t>
  </si>
  <si>
    <t>00345</t>
  </si>
  <si>
    <t>Lalkuan</t>
  </si>
  <si>
    <t>106.58067754230836</t>
  </si>
  <si>
    <t>889</t>
  </si>
  <si>
    <t>067</t>
  </si>
  <si>
    <t>00346</t>
  </si>
  <si>
    <t>Kashipur</t>
  </si>
  <si>
    <t>199.90697618223592</t>
  </si>
  <si>
    <t>00347</t>
  </si>
  <si>
    <t>Jaspur</t>
  </si>
  <si>
    <t>242.90590792358825</t>
  </si>
  <si>
    <t>00348</t>
  </si>
  <si>
    <t>Bajpur</t>
  </si>
  <si>
    <t>315.90678307577878</t>
  </si>
  <si>
    <t>595</t>
  </si>
  <si>
    <t>00349</t>
  </si>
  <si>
    <t>Kichha</t>
  </si>
  <si>
    <t>458.09325733947526</t>
  </si>
  <si>
    <t>00350</t>
  </si>
  <si>
    <t>Gadarpur</t>
  </si>
  <si>
    <t>334.52070557730076</t>
  </si>
  <si>
    <t>523</t>
  </si>
  <si>
    <t>00351</t>
  </si>
  <si>
    <t>Sitarganj</t>
  </si>
  <si>
    <t>408.09001832141149</t>
  </si>
  <si>
    <t>525</t>
  </si>
  <si>
    <t>00352</t>
  </si>
  <si>
    <t>Khatima</t>
  </si>
  <si>
    <t>582.57145543453942</t>
  </si>
  <si>
    <t>390</t>
  </si>
  <si>
    <t>068</t>
  </si>
  <si>
    <t>00353</t>
  </si>
  <si>
    <t>Roorkee</t>
  </si>
  <si>
    <t>266</t>
  </si>
  <si>
    <t>1066.8325712845717</t>
  </si>
  <si>
    <t>934</t>
  </si>
  <si>
    <t>00354</t>
  </si>
  <si>
    <t>Hardwar</t>
  </si>
  <si>
    <t>902.81460581576403</t>
  </si>
  <si>
    <t>00355</t>
  </si>
  <si>
    <t>Laksar</t>
  </si>
  <si>
    <t>35</t>
  </si>
  <si>
    <t>390.34727541907387</t>
  </si>
  <si>
    <t>605</t>
  </si>
  <si>
    <t>06</t>
  </si>
  <si>
    <t>069</t>
  </si>
  <si>
    <t>00356</t>
  </si>
  <si>
    <t>Kalka</t>
  </si>
  <si>
    <t>257.35120456049697</t>
  </si>
  <si>
    <t>00357</t>
  </si>
  <si>
    <t>Panchkula</t>
  </si>
  <si>
    <t>640.64569638515354</t>
  </si>
  <si>
    <t>614</t>
  </si>
  <si>
    <t>070</t>
  </si>
  <si>
    <t>00358</t>
  </si>
  <si>
    <t>Naraingarh</t>
  </si>
  <si>
    <t>481.06268833231775</t>
  </si>
  <si>
    <t>476</t>
  </si>
  <si>
    <t>00359</t>
  </si>
  <si>
    <t>Ambala</t>
  </si>
  <si>
    <t>159</t>
  </si>
  <si>
    <t>736</t>
  </si>
  <si>
    <t>891</t>
  </si>
  <si>
    <t>00360</t>
  </si>
  <si>
    <t>Barara</t>
  </si>
  <si>
    <t>071</t>
  </si>
  <si>
    <t>00361</t>
  </si>
  <si>
    <t>Jagadhri</t>
  </si>
  <si>
    <t>293</t>
  </si>
  <si>
    <t>840.38622819047623</t>
  </si>
  <si>
    <t>00362</t>
  </si>
  <si>
    <t>Bilaspur</t>
  </si>
  <si>
    <t>454.10387935105234</t>
  </si>
  <si>
    <t>411</t>
  </si>
  <si>
    <t>00363</t>
  </si>
  <si>
    <t>Chhachhrauli</t>
  </si>
  <si>
    <t>473.50705536844282</t>
  </si>
  <si>
    <t>072</t>
  </si>
  <si>
    <t>00364</t>
  </si>
  <si>
    <t>Shahbad</t>
  </si>
  <si>
    <t>63</t>
  </si>
  <si>
    <t>181.42529540990262</t>
  </si>
  <si>
    <t>00365</t>
  </si>
  <si>
    <t>Pehowa</t>
  </si>
  <si>
    <t>106</t>
  </si>
  <si>
    <t>547.58270345899973</t>
  </si>
  <si>
    <t>00366</t>
  </si>
  <si>
    <t>Thanesar</t>
  </si>
  <si>
    <t>800.9991898238826</t>
  </si>
  <si>
    <t>073</t>
  </si>
  <si>
    <t>00367</t>
  </si>
  <si>
    <t>Guhla</t>
  </si>
  <si>
    <t>553.00371406969089</t>
  </si>
  <si>
    <t>00368</t>
  </si>
  <si>
    <t>Kaithal</t>
  </si>
  <si>
    <t>1280.1004210888686</t>
  </si>
  <si>
    <t>502</t>
  </si>
  <si>
    <t>00369</t>
  </si>
  <si>
    <t>Fatehpur Pundri</t>
  </si>
  <si>
    <t>483.89381977815248</t>
  </si>
  <si>
    <t>490</t>
  </si>
  <si>
    <t>074</t>
  </si>
  <si>
    <t>00370</t>
  </si>
  <si>
    <t>Nilokheri</t>
  </si>
  <si>
    <t>395.65870935437306</t>
  </si>
  <si>
    <t>00371</t>
  </si>
  <si>
    <t>Indri</t>
  </si>
  <si>
    <t>361.9039799085582</t>
  </si>
  <si>
    <t>449</t>
  </si>
  <si>
    <t>00372</t>
  </si>
  <si>
    <t>Karnal</t>
  </si>
  <si>
    <t>130</t>
  </si>
  <si>
    <t>830.38960161877799</t>
  </si>
  <si>
    <t>00373</t>
  </si>
  <si>
    <t>Assandh</t>
  </si>
  <si>
    <t>54</t>
  </si>
  <si>
    <t>487.58828256477273</t>
  </si>
  <si>
    <t>00374</t>
  </si>
  <si>
    <t>Gharaunda</t>
  </si>
  <si>
    <t>444.45665207967261</t>
  </si>
  <si>
    <t>423</t>
  </si>
  <si>
    <t>075</t>
  </si>
  <si>
    <t>00375</t>
  </si>
  <si>
    <t>Panipat</t>
  </si>
  <si>
    <t>75</t>
  </si>
  <si>
    <t>536.3097577598752</t>
  </si>
  <si>
    <t>00376</t>
  </si>
  <si>
    <t>Israna</t>
  </si>
  <si>
    <t>280.06014427215933</t>
  </si>
  <si>
    <t>386</t>
  </si>
  <si>
    <t>00377</t>
  </si>
  <si>
    <t>Samalkha</t>
  </si>
  <si>
    <t>451.62601043158821</t>
  </si>
  <si>
    <t>076</t>
  </si>
  <si>
    <t>00378</t>
  </si>
  <si>
    <t>Gohana</t>
  </si>
  <si>
    <t>833.89509907427077</t>
  </si>
  <si>
    <t>00379</t>
  </si>
  <si>
    <t>Ganaur</t>
  </si>
  <si>
    <t>301.79154277587486</t>
  </si>
  <si>
    <t>686</t>
  </si>
  <si>
    <t>00380</t>
  </si>
  <si>
    <t>Sonipat</t>
  </si>
  <si>
    <t>708.36144731422382</t>
  </si>
  <si>
    <t>1003</t>
  </si>
  <si>
    <t>00381</t>
  </si>
  <si>
    <t>Kharkhoda</t>
  </si>
  <si>
    <t>277.96175880327127</t>
  </si>
  <si>
    <t>579</t>
  </si>
  <si>
    <t>077</t>
  </si>
  <si>
    <t>00382</t>
  </si>
  <si>
    <t>Narwana</t>
  </si>
  <si>
    <t>107</t>
  </si>
  <si>
    <t>1132.1939690920512</t>
  </si>
  <si>
    <t>00383</t>
  </si>
  <si>
    <t>Jind</t>
  </si>
  <si>
    <t>817.352119880808</t>
  </si>
  <si>
    <t>583</t>
  </si>
  <si>
    <t>00384</t>
  </si>
  <si>
    <t>Julana</t>
  </si>
  <si>
    <t>263.12854928162233</t>
  </si>
  <si>
    <t>00385</t>
  </si>
  <si>
    <t>Safidon</t>
  </si>
  <si>
    <t>489.32765925615234</t>
  </si>
  <si>
    <t>518</t>
  </si>
  <si>
    <t>078</t>
  </si>
  <si>
    <t>00386</t>
  </si>
  <si>
    <t>Ratia</t>
  </si>
  <si>
    <t>512.55063429269819</t>
  </si>
  <si>
    <t>00387</t>
  </si>
  <si>
    <t>Tohana</t>
  </si>
  <si>
    <t>603.93274495876517</t>
  </si>
  <si>
    <t>437</t>
  </si>
  <si>
    <t>00388</t>
  </si>
  <si>
    <t>Fatehabad</t>
  </si>
  <si>
    <t>1421.521332408508</t>
  </si>
  <si>
    <t>351</t>
  </si>
  <si>
    <t>079</t>
  </si>
  <si>
    <t>00389</t>
  </si>
  <si>
    <t>Dabwali</t>
  </si>
  <si>
    <t>1099.7904572462865</t>
  </si>
  <si>
    <t>245</t>
  </si>
  <si>
    <t>00390</t>
  </si>
  <si>
    <t>Sirsa</t>
  </si>
  <si>
    <t>2069.3974140827177</t>
  </si>
  <si>
    <t>347</t>
  </si>
  <si>
    <t>00391</t>
  </si>
  <si>
    <t>Rania</t>
  </si>
  <si>
    <t>634.46022662773589</t>
  </si>
  <si>
    <t>00392</t>
  </si>
  <si>
    <t>Ellenabad</t>
  </si>
  <si>
    <t>30</t>
  </si>
  <si>
    <t>473.35916896981922</t>
  </si>
  <si>
    <t>279</t>
  </si>
  <si>
    <t>080</t>
  </si>
  <si>
    <t>00393</t>
  </si>
  <si>
    <t>Adampur</t>
  </si>
  <si>
    <t>460</t>
  </si>
  <si>
    <t>00394</t>
  </si>
  <si>
    <t>Hisar</t>
  </si>
  <si>
    <t>2234</t>
  </si>
  <si>
    <t>479</t>
  </si>
  <si>
    <t>00395</t>
  </si>
  <si>
    <t>Narnaund</t>
  </si>
  <si>
    <t>440.92738940068398</t>
  </si>
  <si>
    <t>00396</t>
  </si>
  <si>
    <t>Hansi</t>
  </si>
  <si>
    <t>847.81629744637144</t>
  </si>
  <si>
    <t>081</t>
  </si>
  <si>
    <t>00397</t>
  </si>
  <si>
    <t>Bawani Khera</t>
  </si>
  <si>
    <t>00398</t>
  </si>
  <si>
    <t>Bhiwani</t>
  </si>
  <si>
    <t>960</t>
  </si>
  <si>
    <t>577</t>
  </si>
  <si>
    <t>00399</t>
  </si>
  <si>
    <t>Tosham</t>
  </si>
  <si>
    <t>661</t>
  </si>
  <si>
    <t>00400</t>
  </si>
  <si>
    <t>Siwani</t>
  </si>
  <si>
    <t>487.57322129345192</t>
  </si>
  <si>
    <t>00401</t>
  </si>
  <si>
    <t>Loharu</t>
  </si>
  <si>
    <t>698.69260493910315</t>
  </si>
  <si>
    <t>229</t>
  </si>
  <si>
    <t>00402</t>
  </si>
  <si>
    <t>Dadri</t>
  </si>
  <si>
    <t>978.78606923072027</t>
  </si>
  <si>
    <t>00403</t>
  </si>
  <si>
    <t>Badhra</t>
  </si>
  <si>
    <t>447.37954092922507</t>
  </si>
  <si>
    <t>264</t>
  </si>
  <si>
    <t>082</t>
  </si>
  <si>
    <t>00404</t>
  </si>
  <si>
    <t>Maham</t>
  </si>
  <si>
    <t>550.32133557502038</t>
  </si>
  <si>
    <t>369</t>
  </si>
  <si>
    <t>00405</t>
  </si>
  <si>
    <t>Rohtak</t>
  </si>
  <si>
    <t>937.22866876810997</t>
  </si>
  <si>
    <t>784</t>
  </si>
  <si>
    <t>00406</t>
  </si>
  <si>
    <t>Sampla</t>
  </si>
  <si>
    <t>257.45121209724408</t>
  </si>
  <si>
    <t>481</t>
  </si>
  <si>
    <t>083</t>
  </si>
  <si>
    <t>00407</t>
  </si>
  <si>
    <t>Beri</t>
  </si>
  <si>
    <t>329.97278415629739</t>
  </si>
  <si>
    <t>00408</t>
  </si>
  <si>
    <t>Bahadurgarh</t>
  </si>
  <si>
    <t>516.90430654049953</t>
  </si>
  <si>
    <t>781</t>
  </si>
  <si>
    <t>00409</t>
  </si>
  <si>
    <t>Jhajjar</t>
  </si>
  <si>
    <t>610.36486623217252</t>
  </si>
  <si>
    <t>424</t>
  </si>
  <si>
    <t>00410</t>
  </si>
  <si>
    <t>Matenhail</t>
  </si>
  <si>
    <t>376.75507900641469</t>
  </si>
  <si>
    <t>084</t>
  </si>
  <si>
    <t>00411</t>
  </si>
  <si>
    <t>Mahendragarh</t>
  </si>
  <si>
    <t>976.66490022229846</t>
  </si>
  <si>
    <t>00412</t>
  </si>
  <si>
    <t>Narnaul</t>
  </si>
  <si>
    <t>922.33516486972462</t>
  </si>
  <si>
    <t>561</t>
  </si>
  <si>
    <t>085</t>
  </si>
  <si>
    <t>00413</t>
  </si>
  <si>
    <t>Kosli</t>
  </si>
  <si>
    <t>337.69177831141656</t>
  </si>
  <si>
    <t>377</t>
  </si>
  <si>
    <t>00414</t>
  </si>
  <si>
    <t>Rewari</t>
  </si>
  <si>
    <t>998.5023580729777</t>
  </si>
  <si>
    <t>00415</t>
  </si>
  <si>
    <t>Bawal</t>
  </si>
  <si>
    <t>257.80440877842932</t>
  </si>
  <si>
    <t>504</t>
  </si>
  <si>
    <t>086</t>
  </si>
  <si>
    <t>00416</t>
  </si>
  <si>
    <t>Pataudi</t>
  </si>
  <si>
    <t>177.44880596826104</t>
  </si>
  <si>
    <t>00417</t>
  </si>
  <si>
    <t>Gurgaon</t>
  </si>
  <si>
    <t>333.21556315463982</t>
  </si>
  <si>
    <t>00418</t>
  </si>
  <si>
    <t>Farrukhnagar</t>
  </si>
  <si>
    <t>274.69487956738618</t>
  </si>
  <si>
    <t>491</t>
  </si>
  <si>
    <t>00419</t>
  </si>
  <si>
    <t>Manesar</t>
  </si>
  <si>
    <t>160.80157909101774</t>
  </si>
  <si>
    <t>00420</t>
  </si>
  <si>
    <t>Sohna</t>
  </si>
  <si>
    <t>311.85666029210284</t>
  </si>
  <si>
    <t>531</t>
  </si>
  <si>
    <t>087</t>
  </si>
  <si>
    <t>00421</t>
  </si>
  <si>
    <t>Taoru</t>
  </si>
  <si>
    <t>223.76695574724167</t>
  </si>
  <si>
    <t>745</t>
  </si>
  <si>
    <t>00422</t>
  </si>
  <si>
    <t>Nuh</t>
  </si>
  <si>
    <t>465.41246631912401</t>
  </si>
  <si>
    <t>617</t>
  </si>
  <si>
    <t>00423</t>
  </si>
  <si>
    <t>Ferozepur Jhirka</t>
  </si>
  <si>
    <t>526.52084849076539</t>
  </si>
  <si>
    <t>652</t>
  </si>
  <si>
    <t>00424</t>
  </si>
  <si>
    <t>Punahana</t>
  </si>
  <si>
    <t>291.30125327614519</t>
  </si>
  <si>
    <t>088</t>
  </si>
  <si>
    <t>00425</t>
  </si>
  <si>
    <t>Faridabad</t>
  </si>
  <si>
    <t>00426</t>
  </si>
  <si>
    <t>Ballabgarh</t>
  </si>
  <si>
    <t>551</t>
  </si>
  <si>
    <t>089</t>
  </si>
  <si>
    <t>00427</t>
  </si>
  <si>
    <t>Palwal</t>
  </si>
  <si>
    <t>618.60441140538114</t>
  </si>
  <si>
    <t>00428</t>
  </si>
  <si>
    <t>Hathin</t>
  </si>
  <si>
    <t>364.70882672423784</t>
  </si>
  <si>
    <t>00429</t>
  </si>
  <si>
    <t>Hodal</t>
  </si>
  <si>
    <t>375.68136692654161</t>
  </si>
  <si>
    <t>07</t>
  </si>
  <si>
    <t>090</t>
  </si>
  <si>
    <t>00430</t>
  </si>
  <si>
    <t>Narela</t>
  </si>
  <si>
    <t>263.74063618703406</t>
  </si>
  <si>
    <t>00431</t>
  </si>
  <si>
    <t>Saraswati Vihar</t>
  </si>
  <si>
    <t>153.93958163875055</t>
  </si>
  <si>
    <t>00432</t>
  </si>
  <si>
    <t>Model Town</t>
  </si>
  <si>
    <t>25.319782174215391</t>
  </si>
  <si>
    <t>091</t>
  </si>
  <si>
    <t>00433</t>
  </si>
  <si>
    <t>Civil Lines</t>
  </si>
  <si>
    <t>53.125773217483122</t>
  </si>
  <si>
    <t>00434</t>
  </si>
  <si>
    <t>Sadar Bazar</t>
  </si>
  <si>
    <t>3.3925348195615896</t>
  </si>
  <si>
    <t>00435</t>
  </si>
  <si>
    <t>Kotwali</t>
  </si>
  <si>
    <t>4.4816919629552885</t>
  </si>
  <si>
    <t>092</t>
  </si>
  <si>
    <t>00436</t>
  </si>
  <si>
    <t>Seelam Pur</t>
  </si>
  <si>
    <t>48.393753507250068</t>
  </si>
  <si>
    <t>00437</t>
  </si>
  <si>
    <t>Shahdara</t>
  </si>
  <si>
    <t>5.4089441715031761</t>
  </si>
  <si>
    <t>00438</t>
  </si>
  <si>
    <t>Seema Puri</t>
  </si>
  <si>
    <t>8.197302321246756</t>
  </si>
  <si>
    <t>093</t>
  </si>
  <si>
    <t>00439</t>
  </si>
  <si>
    <t>Gandhi Nagar</t>
  </si>
  <si>
    <t>4.4328295591175451</t>
  </si>
  <si>
    <t>00440</t>
  </si>
  <si>
    <t>Vivek Vihar</t>
  </si>
  <si>
    <t>21.881940645823352</t>
  </si>
  <si>
    <t>00441</t>
  </si>
  <si>
    <t>Preet Vihar</t>
  </si>
  <si>
    <t>36.685229795059108</t>
  </si>
  <si>
    <t>094</t>
  </si>
  <si>
    <t>00442</t>
  </si>
  <si>
    <t>Connaught Place</t>
  </si>
  <si>
    <t>7.6416660499169309</t>
  </si>
  <si>
    <t>00443</t>
  </si>
  <si>
    <t>Chanakya Puri</t>
  </si>
  <si>
    <t>19.647580637599475</t>
  </si>
  <si>
    <t>00444</t>
  </si>
  <si>
    <t>Parliament Street</t>
  </si>
  <si>
    <t>7.7107533124835923</t>
  </si>
  <si>
    <t>095</t>
  </si>
  <si>
    <t>00445</t>
  </si>
  <si>
    <t>Darya Ganj</t>
  </si>
  <si>
    <t>11.36004008356454</t>
  </si>
  <si>
    <t>00446</t>
  </si>
  <si>
    <t>Pahar Ganj</t>
  </si>
  <si>
    <t>4.5646399413941925</t>
  </si>
  <si>
    <t>00447</t>
  </si>
  <si>
    <t>Karol Bagh</t>
  </si>
  <si>
    <t>5.0753199750412703</t>
  </si>
  <si>
    <t>096</t>
  </si>
  <si>
    <t>00448</t>
  </si>
  <si>
    <t>Patel Nagar</t>
  </si>
  <si>
    <t>46.9323767251636</t>
  </si>
  <si>
    <t>00449</t>
  </si>
  <si>
    <t>Rajouri Garden</t>
  </si>
  <si>
    <t>10.432795503059932</t>
  </si>
  <si>
    <t>00450</t>
  </si>
  <si>
    <t>Punjabi Bagh</t>
  </si>
  <si>
    <t>72.634827771776457</t>
  </si>
  <si>
    <t>097</t>
  </si>
  <si>
    <t>00451</t>
  </si>
  <si>
    <t>Najafgarh</t>
  </si>
  <si>
    <t>261.88112424635079</t>
  </si>
  <si>
    <t>00452</t>
  </si>
  <si>
    <t>Delhi Cantonment</t>
  </si>
  <si>
    <t>67.566420957644581</t>
  </si>
  <si>
    <t>00453</t>
  </si>
  <si>
    <t>Vasant Vihar</t>
  </si>
  <si>
    <t>91.552454796004639</t>
  </si>
  <si>
    <t>098</t>
  </si>
  <si>
    <t>00454</t>
  </si>
  <si>
    <t>Hauz Khas</t>
  </si>
  <si>
    <t>150.14507128618123</t>
  </si>
  <si>
    <t>00455</t>
  </si>
  <si>
    <t>Defence Colony</t>
  </si>
  <si>
    <t>36.774992307102757</t>
  </si>
  <si>
    <t>00456</t>
  </si>
  <si>
    <t>Kalkaji</t>
  </si>
  <si>
    <t>60.079936406716023</t>
  </si>
  <si>
    <t>08</t>
  </si>
  <si>
    <t>099</t>
  </si>
  <si>
    <t>00457</t>
  </si>
  <si>
    <t>Karanpur</t>
  </si>
  <si>
    <t>826.34052447543297</t>
  </si>
  <si>
    <t>00458</t>
  </si>
  <si>
    <t>Ganganagar</t>
  </si>
  <si>
    <t>299</t>
  </si>
  <si>
    <t>990.64396899549649</t>
  </si>
  <si>
    <t>00459</t>
  </si>
  <si>
    <t>Sadulshahar</t>
  </si>
  <si>
    <t>775.42097844329965</t>
  </si>
  <si>
    <t>00460</t>
  </si>
  <si>
    <t>Padampur</t>
  </si>
  <si>
    <t>242</t>
  </si>
  <si>
    <t>856.8673576334221</t>
  </si>
  <si>
    <t>00461</t>
  </si>
  <si>
    <t>Raisinghnagar</t>
  </si>
  <si>
    <t>1326.376897580149</t>
  </si>
  <si>
    <t>00462</t>
  </si>
  <si>
    <t>Anupgarh</t>
  </si>
  <si>
    <t>1160.1026415412211</t>
  </si>
  <si>
    <t>00463</t>
  </si>
  <si>
    <t>Gharsana</t>
  </si>
  <si>
    <t>426</t>
  </si>
  <si>
    <t>1382.3998081769207</t>
  </si>
  <si>
    <t>124</t>
  </si>
  <si>
    <t>00464</t>
  </si>
  <si>
    <t>Vijainagar</t>
  </si>
  <si>
    <t>845.0839792890539</t>
  </si>
  <si>
    <t>00465</t>
  </si>
  <si>
    <t>Suratgarh</t>
  </si>
  <si>
    <t>2814.7545020109515</t>
  </si>
  <si>
    <t>00466</t>
  </si>
  <si>
    <t>Sangaria</t>
  </si>
  <si>
    <t>651.24414371884245</t>
  </si>
  <si>
    <t>00467</t>
  </si>
  <si>
    <t>Tibi</t>
  </si>
  <si>
    <t>740.6611775379896</t>
  </si>
  <si>
    <t>00468</t>
  </si>
  <si>
    <t>Hanumangarh</t>
  </si>
  <si>
    <t>1216.0675554173893</t>
  </si>
  <si>
    <t>00469</t>
  </si>
  <si>
    <t>Pilibanga</t>
  </si>
  <si>
    <t>291</t>
  </si>
  <si>
    <t>1007.660399476733</t>
  </si>
  <si>
    <t>00470</t>
  </si>
  <si>
    <t>Rawatsar</t>
  </si>
  <si>
    <t>306</t>
  </si>
  <si>
    <t>1866.901246835019</t>
  </si>
  <si>
    <t>00471</t>
  </si>
  <si>
    <t>Nohar</t>
  </si>
  <si>
    <t>2450.9235649227817</t>
  </si>
  <si>
    <t>00472</t>
  </si>
  <si>
    <t>Bhadra</t>
  </si>
  <si>
    <t>1722.5451724985764</t>
  </si>
  <si>
    <t>00473</t>
  </si>
  <si>
    <t>Bikaner</t>
  </si>
  <si>
    <t>108</t>
  </si>
  <si>
    <t>3698.6246886061867</t>
  </si>
  <si>
    <t>249</t>
  </si>
  <si>
    <t>00474</t>
  </si>
  <si>
    <t>Poogal</t>
  </si>
  <si>
    <t>2412</t>
  </si>
  <si>
    <t>00475</t>
  </si>
  <si>
    <t>Lunkaransar</t>
  </si>
  <si>
    <t>5099.1472767182586</t>
  </si>
  <si>
    <t>00476</t>
  </si>
  <si>
    <t>Kolayat</t>
  </si>
  <si>
    <t>209</t>
  </si>
  <si>
    <t>8072</t>
  </si>
  <si>
    <t>00477</t>
  </si>
  <si>
    <t>Nokha</t>
  </si>
  <si>
    <t>3790.5669667354077</t>
  </si>
  <si>
    <t>115</t>
  </si>
  <si>
    <t>00478</t>
  </si>
  <si>
    <t>Khajuwala</t>
  </si>
  <si>
    <t>2036.4480638706927</t>
  </si>
  <si>
    <t>00479</t>
  </si>
  <si>
    <t>Chhatargarh</t>
  </si>
  <si>
    <t>2146</t>
  </si>
  <si>
    <t>00480</t>
  </si>
  <si>
    <t>Sridungargarh</t>
  </si>
  <si>
    <t>2984.2474533779618</t>
  </si>
  <si>
    <t>00481</t>
  </si>
  <si>
    <t>Taranagar</t>
  </si>
  <si>
    <t>1804.5020974793258</t>
  </si>
  <si>
    <t>00482</t>
  </si>
  <si>
    <t>215</t>
  </si>
  <si>
    <t>2209.1574560959139</t>
  </si>
  <si>
    <t>00483</t>
  </si>
  <si>
    <t>Sardarshahar</t>
  </si>
  <si>
    <t>3832.0981007332075</t>
  </si>
  <si>
    <t>00484</t>
  </si>
  <si>
    <t>Churu</t>
  </si>
  <si>
    <t>1607.1069768030031</t>
  </si>
  <si>
    <t>00485</t>
  </si>
  <si>
    <t>Ratangarh</t>
  </si>
  <si>
    <t>1692.6355848896631</t>
  </si>
  <si>
    <t>00486</t>
  </si>
  <si>
    <t>Sujangarh</t>
  </si>
  <si>
    <t>2689.4969222902109</t>
  </si>
  <si>
    <t>00487</t>
  </si>
  <si>
    <t>Jhunjhunun</t>
  </si>
  <si>
    <t>271</t>
  </si>
  <si>
    <t>1618.9133595884764</t>
  </si>
  <si>
    <t>00488</t>
  </si>
  <si>
    <t>Chirawa</t>
  </si>
  <si>
    <t>212</t>
  </si>
  <si>
    <t>1307.2548865519811</t>
  </si>
  <si>
    <t>364</t>
  </si>
  <si>
    <t>00489</t>
  </si>
  <si>
    <t>Buhana</t>
  </si>
  <si>
    <t>648.45905509206875</t>
  </si>
  <si>
    <t>00490</t>
  </si>
  <si>
    <t>Khetri</t>
  </si>
  <si>
    <t>812.54112409657876</t>
  </si>
  <si>
    <t>342</t>
  </si>
  <si>
    <t>00491</t>
  </si>
  <si>
    <t>Nawalgarh</t>
  </si>
  <si>
    <t>690.38676184388453</t>
  </si>
  <si>
    <t>473</t>
  </si>
  <si>
    <t>00492</t>
  </si>
  <si>
    <t>Udaipurwati</t>
  </si>
  <si>
    <t>850.43572552533419</t>
  </si>
  <si>
    <t>00493</t>
  </si>
  <si>
    <t>Behror</t>
  </si>
  <si>
    <t>741.73118530330362</t>
  </si>
  <si>
    <t>484</t>
  </si>
  <si>
    <t>00494</t>
  </si>
  <si>
    <t>Mandawar</t>
  </si>
  <si>
    <t>570.57676339666841</t>
  </si>
  <si>
    <t>00495</t>
  </si>
  <si>
    <t>Kotkasim</t>
  </si>
  <si>
    <t>339.61081252030482</t>
  </si>
  <si>
    <t>00496</t>
  </si>
  <si>
    <t>Tijara</t>
  </si>
  <si>
    <t>700.75418896109784</t>
  </si>
  <si>
    <t>00497</t>
  </si>
  <si>
    <t>Kishangarh Bas</t>
  </si>
  <si>
    <t>393.59211294891207</t>
  </si>
  <si>
    <t>511</t>
  </si>
  <si>
    <t>00498</t>
  </si>
  <si>
    <t>Ramgarh</t>
  </si>
  <si>
    <t>00499</t>
  </si>
  <si>
    <t>Alwar</t>
  </si>
  <si>
    <t>1201.5852928419079</t>
  </si>
  <si>
    <t>586</t>
  </si>
  <si>
    <t>00500</t>
  </si>
  <si>
    <t>Bansur</t>
  </si>
  <si>
    <t>702.0360122573727</t>
  </si>
  <si>
    <t>00501</t>
  </si>
  <si>
    <t>Thanagazi</t>
  </si>
  <si>
    <t>822.38268012214576</t>
  </si>
  <si>
    <t>00502</t>
  </si>
  <si>
    <t>1208.2631787241139</t>
  </si>
  <si>
    <t>00503</t>
  </si>
  <si>
    <t>Lachhmangarh</t>
  </si>
  <si>
    <t>514</t>
  </si>
  <si>
    <t>562</t>
  </si>
  <si>
    <t>00504</t>
  </si>
  <si>
    <t>Kathumar</t>
  </si>
  <si>
    <t>509.22497901448082</t>
  </si>
  <si>
    <t>482</t>
  </si>
  <si>
    <t>00505</t>
  </si>
  <si>
    <t>Pahari</t>
  </si>
  <si>
    <t>386.82170443578224</t>
  </si>
  <si>
    <t>00506</t>
  </si>
  <si>
    <t>Kaman</t>
  </si>
  <si>
    <t>358.01185963563825</t>
  </si>
  <si>
    <t>570</t>
  </si>
  <si>
    <t>00507</t>
  </si>
  <si>
    <t>Nagar</t>
  </si>
  <si>
    <t>472.87775867315861</t>
  </si>
  <si>
    <t>00508</t>
  </si>
  <si>
    <t>Deeg</t>
  </si>
  <si>
    <t>505.43277955283151</t>
  </si>
  <si>
    <t>00509</t>
  </si>
  <si>
    <t>Nadbai</t>
  </si>
  <si>
    <t>446.98313403464249</t>
  </si>
  <si>
    <t>00510</t>
  </si>
  <si>
    <t>Kumher</t>
  </si>
  <si>
    <t>448.86090929889383</t>
  </si>
  <si>
    <t>00511</t>
  </si>
  <si>
    <t>Bharatpur</t>
  </si>
  <si>
    <t>501.49048894280099</t>
  </si>
  <si>
    <t>00512</t>
  </si>
  <si>
    <t>Weir</t>
  </si>
  <si>
    <t>606.43841476140244</t>
  </si>
  <si>
    <t>462</t>
  </si>
  <si>
    <t>00513</t>
  </si>
  <si>
    <t>Bayana</t>
  </si>
  <si>
    <t>778.56089768512891</t>
  </si>
  <si>
    <t>346</t>
  </si>
  <si>
    <t>00514</t>
  </si>
  <si>
    <t>Rupbas</t>
  </si>
  <si>
    <t>560.53147805249455</t>
  </si>
  <si>
    <t>00515</t>
  </si>
  <si>
    <t>Baseri</t>
  </si>
  <si>
    <t>999.94460392682197</t>
  </si>
  <si>
    <t>00516</t>
  </si>
  <si>
    <t>Bari</t>
  </si>
  <si>
    <t>793.77142185782952</t>
  </si>
  <si>
    <t>00517</t>
  </si>
  <si>
    <t>Sepau</t>
  </si>
  <si>
    <t>312.37889112250571</t>
  </si>
  <si>
    <t>612</t>
  </si>
  <si>
    <t>00518</t>
  </si>
  <si>
    <t>Dhaulpur</t>
  </si>
  <si>
    <t>523.73157366234489</t>
  </si>
  <si>
    <t>00519</t>
  </si>
  <si>
    <t>Rajakhera</t>
  </si>
  <si>
    <t>403.18103564949291</t>
  </si>
  <si>
    <t>407</t>
  </si>
  <si>
    <t>00520</t>
  </si>
  <si>
    <t>Todabhim</t>
  </si>
  <si>
    <t>596.28884558564664</t>
  </si>
  <si>
    <t>421</t>
  </si>
  <si>
    <t>00521</t>
  </si>
  <si>
    <t>Nadoti</t>
  </si>
  <si>
    <t>712.66156715460443</t>
  </si>
  <si>
    <t>00522</t>
  </si>
  <si>
    <t>Hindaun</t>
  </si>
  <si>
    <t>700.58913936989654</t>
  </si>
  <si>
    <t>00523</t>
  </si>
  <si>
    <t>Karauli</t>
  </si>
  <si>
    <t>1383.7606322197557</t>
  </si>
  <si>
    <t>252</t>
  </si>
  <si>
    <t>00524</t>
  </si>
  <si>
    <t>Mandrail</t>
  </si>
  <si>
    <t>632.8830353890562</t>
  </si>
  <si>
    <t>00525</t>
  </si>
  <si>
    <t>Sapotra</t>
  </si>
  <si>
    <t>1497.8148080552269</t>
  </si>
  <si>
    <t>00526</t>
  </si>
  <si>
    <t>Gangapur</t>
  </si>
  <si>
    <t>571.79060457025366</t>
  </si>
  <si>
    <t>606</t>
  </si>
  <si>
    <t>00527</t>
  </si>
  <si>
    <t>Bamanwas</t>
  </si>
  <si>
    <t>654.97942995939172</t>
  </si>
  <si>
    <t>00528</t>
  </si>
  <si>
    <t>Malarna Doongar</t>
  </si>
  <si>
    <t>341.14674871613681</t>
  </si>
  <si>
    <t>310</t>
  </si>
  <si>
    <t>00529</t>
  </si>
  <si>
    <t>Bonli</t>
  </si>
  <si>
    <t>553.12847263884998</t>
  </si>
  <si>
    <t>00530</t>
  </si>
  <si>
    <t>Chauth Ka Barwara</t>
  </si>
  <si>
    <t>469.46518626840498</t>
  </si>
  <si>
    <t>00531</t>
  </si>
  <si>
    <t>Sawai Madhopur</t>
  </si>
  <si>
    <t>982.7575427904701</t>
  </si>
  <si>
    <t>00532</t>
  </si>
  <si>
    <t>Khandar</t>
  </si>
  <si>
    <t>924.74305888008485</t>
  </si>
  <si>
    <t>00533</t>
  </si>
  <si>
    <t>Baswa</t>
  </si>
  <si>
    <t>635.7442612782113</t>
  </si>
  <si>
    <t>00534</t>
  </si>
  <si>
    <t>Mahwa</t>
  </si>
  <si>
    <t>487.91275133778248</t>
  </si>
  <si>
    <t>542</t>
  </si>
  <si>
    <t>00535</t>
  </si>
  <si>
    <t>Sikrai</t>
  </si>
  <si>
    <t>514.7116407913195</t>
  </si>
  <si>
    <t>506</t>
  </si>
  <si>
    <t>00536</t>
  </si>
  <si>
    <t>Dausa</t>
  </si>
  <si>
    <t>923.4572218071836</t>
  </si>
  <si>
    <t>00537</t>
  </si>
  <si>
    <t>Lalsot</t>
  </si>
  <si>
    <t>870.18244662213908</t>
  </si>
  <si>
    <t>00538</t>
  </si>
  <si>
    <t>Kotputli</t>
  </si>
  <si>
    <t>144</t>
  </si>
  <si>
    <t>811.0696343992372</t>
  </si>
  <si>
    <t>510</t>
  </si>
  <si>
    <t>00539</t>
  </si>
  <si>
    <t>Viratnagar</t>
  </si>
  <si>
    <t>482.92109687068216</t>
  </si>
  <si>
    <t>344</t>
  </si>
  <si>
    <t>00540</t>
  </si>
  <si>
    <t>Shahpura</t>
  </si>
  <si>
    <t>530.42051207938755</t>
  </si>
  <si>
    <t>00541</t>
  </si>
  <si>
    <t>Chomu</t>
  </si>
  <si>
    <t>680.77307341388939</t>
  </si>
  <si>
    <t>580</t>
  </si>
  <si>
    <t>00542</t>
  </si>
  <si>
    <t>Phulera (Hq.Sambhar)</t>
  </si>
  <si>
    <t>1560.9855874441473</t>
  </si>
  <si>
    <t>00543</t>
  </si>
  <si>
    <t>Mauzamabad</t>
  </si>
  <si>
    <t>1339.6951707619132</t>
  </si>
  <si>
    <t>00544</t>
  </si>
  <si>
    <t>Phagi</t>
  </si>
  <si>
    <t>1118.1661156895959</t>
  </si>
  <si>
    <t>00545</t>
  </si>
  <si>
    <t>Sanganer</t>
  </si>
  <si>
    <t>710.20860005152531</t>
  </si>
  <si>
    <t>00546</t>
  </si>
  <si>
    <t>Jaipur</t>
  </si>
  <si>
    <t>579.22725064246094</t>
  </si>
  <si>
    <t>00547</t>
  </si>
  <si>
    <t>Amber</t>
  </si>
  <si>
    <t>810.87249833786427</t>
  </si>
  <si>
    <t>00548</t>
  </si>
  <si>
    <t>Jamwa Ramgarh</t>
  </si>
  <si>
    <t>1022.233482876208</t>
  </si>
  <si>
    <t>00549</t>
  </si>
  <si>
    <t>Bassi</t>
  </si>
  <si>
    <t>679.84964660008984</t>
  </si>
  <si>
    <t>00550</t>
  </si>
  <si>
    <t>Chaksu</t>
  </si>
  <si>
    <t>816.56869295332501</t>
  </si>
  <si>
    <t>00551</t>
  </si>
  <si>
    <t>1071.4124781349194</t>
  </si>
  <si>
    <t>00552</t>
  </si>
  <si>
    <t>1221.7471857566836</t>
  </si>
  <si>
    <t>00553</t>
  </si>
  <si>
    <t>Sikar</t>
  </si>
  <si>
    <t>1516.2607881553215</t>
  </si>
  <si>
    <t>425</t>
  </si>
  <si>
    <t>00554</t>
  </si>
  <si>
    <t>Danta Ramgarh</t>
  </si>
  <si>
    <t>1371.3137143725087</t>
  </si>
  <si>
    <t>00555</t>
  </si>
  <si>
    <t>Sri Madhopur</t>
  </si>
  <si>
    <t>230</t>
  </si>
  <si>
    <t>1372.9227379660299</t>
  </si>
  <si>
    <t>00556</t>
  </si>
  <si>
    <t>Neem-Ka-Thana</t>
  </si>
  <si>
    <t>1178.3450719211223</t>
  </si>
  <si>
    <t>339</t>
  </si>
  <si>
    <t>00557</t>
  </si>
  <si>
    <t>Ladnu</t>
  </si>
  <si>
    <t>1258.3466098745512</t>
  </si>
  <si>
    <t>00558</t>
  </si>
  <si>
    <t>Didwana</t>
  </si>
  <si>
    <t>1649.0473905085901</t>
  </si>
  <si>
    <t>00559</t>
  </si>
  <si>
    <t>Jayal</t>
  </si>
  <si>
    <t>2065.7639187234927</t>
  </si>
  <si>
    <t>00560</t>
  </si>
  <si>
    <t>Nagaur</t>
  </si>
  <si>
    <t>3055.5495533724156</t>
  </si>
  <si>
    <t>00561</t>
  </si>
  <si>
    <t>Kheenvsar</t>
  </si>
  <si>
    <t>1646.2599889820692</t>
  </si>
  <si>
    <t>00562</t>
  </si>
  <si>
    <t>Merta</t>
  </si>
  <si>
    <t>2285.6176332005039</t>
  </si>
  <si>
    <t>00563</t>
  </si>
  <si>
    <t>Degana</t>
  </si>
  <si>
    <t>1897.9933179549957</t>
  </si>
  <si>
    <t>00564</t>
  </si>
  <si>
    <t>Parbatsar</t>
  </si>
  <si>
    <t>1105.0808207533214</t>
  </si>
  <si>
    <t>00565</t>
  </si>
  <si>
    <t>Makrana</t>
  </si>
  <si>
    <t>1127.7620102117171</t>
  </si>
  <si>
    <t>00566</t>
  </si>
  <si>
    <t>Nawa</t>
  </si>
  <si>
    <t>1626.5933226560592</t>
  </si>
  <si>
    <t>00567</t>
  </si>
  <si>
    <t>Phalodi</t>
  </si>
  <si>
    <t>7696.8114154156146</t>
  </si>
  <si>
    <t>00568</t>
  </si>
  <si>
    <t>Osian</t>
  </si>
  <si>
    <t>3543.4126175331903</t>
  </si>
  <si>
    <t>00569</t>
  </si>
  <si>
    <t>Bhopalgarh</t>
  </si>
  <si>
    <t>2491.6420093779329</t>
  </si>
  <si>
    <t>00570</t>
  </si>
  <si>
    <t>Jodhpur</t>
  </si>
  <si>
    <t>1968.4173645098415</t>
  </si>
  <si>
    <t>00571</t>
  </si>
  <si>
    <t>Shergarh</t>
  </si>
  <si>
    <t>507</t>
  </si>
  <si>
    <t>3866.6435072796662</t>
  </si>
  <si>
    <t>00572</t>
  </si>
  <si>
    <t>Luni</t>
  </si>
  <si>
    <t>1616.8548973258548</t>
  </si>
  <si>
    <t>00573</t>
  </si>
  <si>
    <t>Bilara</t>
  </si>
  <si>
    <t>1666.2208414808085</t>
  </si>
  <si>
    <t>00574</t>
  </si>
  <si>
    <t>Jaisalmer</t>
  </si>
  <si>
    <t>338</t>
  </si>
  <si>
    <t>24462.424520155309</t>
  </si>
  <si>
    <t>00575</t>
  </si>
  <si>
    <t>Pokaran</t>
  </si>
  <si>
    <t>9598.5375495497374</t>
  </si>
  <si>
    <t>00576</t>
  </si>
  <si>
    <t>Fatehgarh</t>
  </si>
  <si>
    <t>120</t>
  </si>
  <si>
    <t>4340.0363897987745</t>
  </si>
  <si>
    <t>00577</t>
  </si>
  <si>
    <t>Sheo</t>
  </si>
  <si>
    <t>6613.8811615658178</t>
  </si>
  <si>
    <t>00578</t>
  </si>
  <si>
    <t>Baytoo</t>
  </si>
  <si>
    <t>340</t>
  </si>
  <si>
    <t>3098.9571251580001</t>
  </si>
  <si>
    <t>00579</t>
  </si>
  <si>
    <t>Pachpadra</t>
  </si>
  <si>
    <t>3482.6956137313705</t>
  </si>
  <si>
    <t>00580</t>
  </si>
  <si>
    <t>Siwana</t>
  </si>
  <si>
    <t>2061.3930829252058</t>
  </si>
  <si>
    <t>00581</t>
  </si>
  <si>
    <t>Gudha Malani</t>
  </si>
  <si>
    <t>522</t>
  </si>
  <si>
    <t>4024.7398651419535</t>
  </si>
  <si>
    <t>00582</t>
  </si>
  <si>
    <t>Barmer</t>
  </si>
  <si>
    <t>2914.6670666683708</t>
  </si>
  <si>
    <t>00583</t>
  </si>
  <si>
    <t>Ramsar</t>
  </si>
  <si>
    <t>1454.9958817860872</t>
  </si>
  <si>
    <t>00584</t>
  </si>
  <si>
    <t>Chohtan</t>
  </si>
  <si>
    <t>4735.6560643871544</t>
  </si>
  <si>
    <t>00585</t>
  </si>
  <si>
    <t>Sayla</t>
  </si>
  <si>
    <t>964.4431663400037</t>
  </si>
  <si>
    <t>00586</t>
  </si>
  <si>
    <t>Ahore</t>
  </si>
  <si>
    <t>1887.301080785682</t>
  </si>
  <si>
    <t>00587</t>
  </si>
  <si>
    <t>Jalor</t>
  </si>
  <si>
    <t>1296.1585660419275</t>
  </si>
  <si>
    <t>00588</t>
  </si>
  <si>
    <t>Bhinmal</t>
  </si>
  <si>
    <t>1626.6786885711826</t>
  </si>
  <si>
    <t>00589</t>
  </si>
  <si>
    <t>Bagora</t>
  </si>
  <si>
    <t>845.62222166219101</t>
  </si>
  <si>
    <t>00590</t>
  </si>
  <si>
    <t>Sanchore</t>
  </si>
  <si>
    <t>276</t>
  </si>
  <si>
    <t>2996.4143598767769</t>
  </si>
  <si>
    <t>00591</t>
  </si>
  <si>
    <t>Raniwara</t>
  </si>
  <si>
    <t>1023.4171026680224</t>
  </si>
  <si>
    <t>00592</t>
  </si>
  <si>
    <t>Sheoganj</t>
  </si>
  <si>
    <t>884.46836840882588</t>
  </si>
  <si>
    <t>00593</t>
  </si>
  <si>
    <t>Sirohi</t>
  </si>
  <si>
    <t>1175.0673753927028</t>
  </si>
  <si>
    <t>00594</t>
  </si>
  <si>
    <t>Pindwara</t>
  </si>
  <si>
    <t>1112.8436790196349</t>
  </si>
  <si>
    <t>235</t>
  </si>
  <si>
    <t>00595</t>
  </si>
  <si>
    <t>Abu Road</t>
  </si>
  <si>
    <t>878.81355871504888</t>
  </si>
  <si>
    <t>255</t>
  </si>
  <si>
    <t>00596</t>
  </si>
  <si>
    <t>Reodar</t>
  </si>
  <si>
    <t>1084.8087125782442</t>
  </si>
  <si>
    <t>00597</t>
  </si>
  <si>
    <t>Jaitaran</t>
  </si>
  <si>
    <t>1378.9085258595635</t>
  </si>
  <si>
    <t>00598</t>
  </si>
  <si>
    <t>Raipur</t>
  </si>
  <si>
    <t>1100.9209662206936</t>
  </si>
  <si>
    <t>00599</t>
  </si>
  <si>
    <t>Sojat</t>
  </si>
  <si>
    <t>1713.9655530931307</t>
  </si>
  <si>
    <t>00600</t>
  </si>
  <si>
    <t>Rohat</t>
  </si>
  <si>
    <t>1429.834449674941</t>
  </si>
  <si>
    <t>00601</t>
  </si>
  <si>
    <t>Pali</t>
  </si>
  <si>
    <t>1657.1455695097764</t>
  </si>
  <si>
    <t>00602</t>
  </si>
  <si>
    <t>Marwar Junction</t>
  </si>
  <si>
    <t>1399.0543597755056</t>
  </si>
  <si>
    <t>00603</t>
  </si>
  <si>
    <t>Desuri</t>
  </si>
  <si>
    <t>1321.0178400608622</t>
  </si>
  <si>
    <t>00604</t>
  </si>
  <si>
    <t>Sumerpur</t>
  </si>
  <si>
    <t>970.50319929117222</t>
  </si>
  <si>
    <t>00605</t>
  </si>
  <si>
    <t>Bali</t>
  </si>
  <si>
    <t>1415.634651362672</t>
  </si>
  <si>
    <t>00606</t>
  </si>
  <si>
    <t>Kishangarh</t>
  </si>
  <si>
    <t>1714.6468743824671</t>
  </si>
  <si>
    <t>00607</t>
  </si>
  <si>
    <t>Ajmer</t>
  </si>
  <si>
    <t>897.05687965962386</t>
  </si>
  <si>
    <t>00608</t>
  </si>
  <si>
    <t>Peesangan</t>
  </si>
  <si>
    <t>653.84382148062252</t>
  </si>
  <si>
    <t>00609</t>
  </si>
  <si>
    <t>Beawar</t>
  </si>
  <si>
    <t>687.40618635342639</t>
  </si>
  <si>
    <t>00610</t>
  </si>
  <si>
    <t>Masuda</t>
  </si>
  <si>
    <t>874.78914252059133</t>
  </si>
  <si>
    <t>256</t>
  </si>
  <si>
    <t>00611</t>
  </si>
  <si>
    <t>Nasirabad</t>
  </si>
  <si>
    <t>90</t>
  </si>
  <si>
    <t>775.29477718536054</t>
  </si>
  <si>
    <t>00612</t>
  </si>
  <si>
    <t>Bhinay</t>
  </si>
  <si>
    <t>820.54588903333422</t>
  </si>
  <si>
    <t>154</t>
  </si>
  <si>
    <t>00613</t>
  </si>
  <si>
    <t>Sarwar</t>
  </si>
  <si>
    <t>1051.344191108273</t>
  </si>
  <si>
    <t>00614</t>
  </si>
  <si>
    <t>Kekri</t>
  </si>
  <si>
    <t>1006.0619645833469</t>
  </si>
  <si>
    <t>00615</t>
  </si>
  <si>
    <t>Malpura</t>
  </si>
  <si>
    <t>1490.3208045054396</t>
  </si>
  <si>
    <t>162</t>
  </si>
  <si>
    <t>00616</t>
  </si>
  <si>
    <t>Peeplu</t>
  </si>
  <si>
    <t>692.398110297259</t>
  </si>
  <si>
    <t>00617</t>
  </si>
  <si>
    <t>Niwai</t>
  </si>
  <si>
    <t>980.15565303518042</t>
  </si>
  <si>
    <t>251</t>
  </si>
  <si>
    <t>00618</t>
  </si>
  <si>
    <t>Tonk</t>
  </si>
  <si>
    <t>813.8556304990658</t>
  </si>
  <si>
    <t>352</t>
  </si>
  <si>
    <t>00619</t>
  </si>
  <si>
    <t>Todaraisingh</t>
  </si>
  <si>
    <t>999.7502602314579</t>
  </si>
  <si>
    <t>00620</t>
  </si>
  <si>
    <t>Deoli</t>
  </si>
  <si>
    <t>1225.8921509069717</t>
  </si>
  <si>
    <t>00621</t>
  </si>
  <si>
    <t>Uniara</t>
  </si>
  <si>
    <t>991.61782399965193</t>
  </si>
  <si>
    <t>00622</t>
  </si>
  <si>
    <t>Hindoli</t>
  </si>
  <si>
    <t>1355.7595725758458</t>
  </si>
  <si>
    <t>00623</t>
  </si>
  <si>
    <t>Nainwa</t>
  </si>
  <si>
    <t>1192.0174345780295</t>
  </si>
  <si>
    <t>00624</t>
  </si>
  <si>
    <t>Indragarh</t>
  </si>
  <si>
    <t>644.13061424513455</t>
  </si>
  <si>
    <t>00625</t>
  </si>
  <si>
    <t>Keshoraipatan</t>
  </si>
  <si>
    <t>697.64552715826096</t>
  </si>
  <si>
    <t>00626</t>
  </si>
  <si>
    <t>Bundi</t>
  </si>
  <si>
    <t>1886.4344189785829</t>
  </si>
  <si>
    <t>00627</t>
  </si>
  <si>
    <t>Asind</t>
  </si>
  <si>
    <t>1131.1055969267504</t>
  </si>
  <si>
    <t>00628</t>
  </si>
  <si>
    <t>Hurda</t>
  </si>
  <si>
    <t>610.6701298459318</t>
  </si>
  <si>
    <t>00629</t>
  </si>
  <si>
    <t>1128.420535155592</t>
  </si>
  <si>
    <t>00630</t>
  </si>
  <si>
    <t>Banera</t>
  </si>
  <si>
    <t>660.78437155164841</t>
  </si>
  <si>
    <t>00631</t>
  </si>
  <si>
    <t>Mandal</t>
  </si>
  <si>
    <t>1218.8210704625528</t>
  </si>
  <si>
    <t>00632</t>
  </si>
  <si>
    <t>508.44080889846163</t>
  </si>
  <si>
    <t>00633</t>
  </si>
  <si>
    <t>Sahara</t>
  </si>
  <si>
    <t>659.34335384434712</t>
  </si>
  <si>
    <t>00634</t>
  </si>
  <si>
    <t>Bhilwara</t>
  </si>
  <si>
    <t>969.04812354161163</t>
  </si>
  <si>
    <t>576</t>
  </si>
  <si>
    <t>00635</t>
  </si>
  <si>
    <t>Kotri</t>
  </si>
  <si>
    <t>932.20368518370594</t>
  </si>
  <si>
    <t>00636</t>
  </si>
  <si>
    <t>Jahazpur</t>
  </si>
  <si>
    <t>1076.5646317604753</t>
  </si>
  <si>
    <t>00637</t>
  </si>
  <si>
    <t>Mandalgarh</t>
  </si>
  <si>
    <t>929.35275087069965</t>
  </si>
  <si>
    <t>00638</t>
  </si>
  <si>
    <t>Beejoliya</t>
  </si>
  <si>
    <t>630.25345681781823</t>
  </si>
  <si>
    <t>00639</t>
  </si>
  <si>
    <t>Bhim</t>
  </si>
  <si>
    <t>672.40398890775384</t>
  </si>
  <si>
    <t>254</t>
  </si>
  <si>
    <t>00640</t>
  </si>
  <si>
    <t>Deogarh</t>
  </si>
  <si>
    <t>597.8085996384259</t>
  </si>
  <si>
    <t>00641</t>
  </si>
  <si>
    <t>Amet</t>
  </si>
  <si>
    <t>530.81388983634429</t>
  </si>
  <si>
    <t>00642</t>
  </si>
  <si>
    <t>Kumbhalgarh</t>
  </si>
  <si>
    <t>884.15661879716765</t>
  </si>
  <si>
    <t>00643</t>
  </si>
  <si>
    <t>Rajsamand</t>
  </si>
  <si>
    <t>619.20968749186875</t>
  </si>
  <si>
    <t>00644</t>
  </si>
  <si>
    <t>Railmagra</t>
  </si>
  <si>
    <t>564.91762631799077</t>
  </si>
  <si>
    <t>00645</t>
  </si>
  <si>
    <t>Nathdwara</t>
  </si>
  <si>
    <t>785.6927959326224</t>
  </si>
  <si>
    <t>00646</t>
  </si>
  <si>
    <t>Dungarpur</t>
  </si>
  <si>
    <t>1318.5610431232017</t>
  </si>
  <si>
    <t>00647</t>
  </si>
  <si>
    <t>Aspur</t>
  </si>
  <si>
    <t>710.26888098271127</t>
  </si>
  <si>
    <t>316</t>
  </si>
  <si>
    <t>00648</t>
  </si>
  <si>
    <t>Sagwara</t>
  </si>
  <si>
    <t>877.72375469208271</t>
  </si>
  <si>
    <t>00649</t>
  </si>
  <si>
    <t>Simalwara</t>
  </si>
  <si>
    <t>863.44080857432334</t>
  </si>
  <si>
    <t>00650</t>
  </si>
  <si>
    <t>Ghatol</t>
  </si>
  <si>
    <t>771.04254008551402</t>
  </si>
  <si>
    <t>00651</t>
  </si>
  <si>
    <t>Garhi</t>
  </si>
  <si>
    <t>728.43892355669425</t>
  </si>
  <si>
    <t>410</t>
  </si>
  <si>
    <t>00652</t>
  </si>
  <si>
    <t>Banswara</t>
  </si>
  <si>
    <t>1134.8683986069429</t>
  </si>
  <si>
    <t>00653</t>
  </si>
  <si>
    <t>Bagidora</t>
  </si>
  <si>
    <t>308</t>
  </si>
  <si>
    <t>863.07222959640137</t>
  </si>
  <si>
    <t>00654</t>
  </si>
  <si>
    <t>Kushalgarh</t>
  </si>
  <si>
    <t>399</t>
  </si>
  <si>
    <t>1024.586014061905</t>
  </si>
  <si>
    <t>370</t>
  </si>
  <si>
    <t>00655</t>
  </si>
  <si>
    <t>Rashmi</t>
  </si>
  <si>
    <t>446.94627642319483</t>
  </si>
  <si>
    <t>00656</t>
  </si>
  <si>
    <t>Gangrar</t>
  </si>
  <si>
    <t>554.34594938133478</t>
  </si>
  <si>
    <t>00657</t>
  </si>
  <si>
    <t>Begun</t>
  </si>
  <si>
    <t>912.08939232444664</t>
  </si>
  <si>
    <t>00658</t>
  </si>
  <si>
    <t>Rawatbhata</t>
  </si>
  <si>
    <t>1642.6350173120336</t>
  </si>
  <si>
    <t>00659</t>
  </si>
  <si>
    <t>Chittaurgarh</t>
  </si>
  <si>
    <t>983.00217542419443</t>
  </si>
  <si>
    <t>318</t>
  </si>
  <si>
    <t>00660</t>
  </si>
  <si>
    <t>Kapasan</t>
  </si>
  <si>
    <t>191</t>
  </si>
  <si>
    <t>914.09860510688441</t>
  </si>
  <si>
    <t>00661</t>
  </si>
  <si>
    <t>Dungla</t>
  </si>
  <si>
    <t>496.46197906667282</t>
  </si>
  <si>
    <t>00662</t>
  </si>
  <si>
    <t>Bhadesar</t>
  </si>
  <si>
    <t>532.7520903535891</t>
  </si>
  <si>
    <t>00663</t>
  </si>
  <si>
    <t>Nimbahera</t>
  </si>
  <si>
    <t>831.10983177867081</t>
  </si>
  <si>
    <t>00664</t>
  </si>
  <si>
    <t>Bari Sadri</t>
  </si>
  <si>
    <t>508.55868282897831</t>
  </si>
  <si>
    <t>00665</t>
  </si>
  <si>
    <t>Pipalda</t>
  </si>
  <si>
    <t>930.5105498609106</t>
  </si>
  <si>
    <t>00666</t>
  </si>
  <si>
    <t>Digod</t>
  </si>
  <si>
    <t>938.21993079885181</t>
  </si>
  <si>
    <t>00667</t>
  </si>
  <si>
    <t>Ladpura</t>
  </si>
  <si>
    <t>1497.4219564260302</t>
  </si>
  <si>
    <t>00668</t>
  </si>
  <si>
    <t>Ramganj Mandi</t>
  </si>
  <si>
    <t>782.3155619279828</t>
  </si>
  <si>
    <t>348</t>
  </si>
  <si>
    <t>00669</t>
  </si>
  <si>
    <t>Sangod</t>
  </si>
  <si>
    <t>1068.5329936516587</t>
  </si>
  <si>
    <t>00670</t>
  </si>
  <si>
    <t>Mangrol</t>
  </si>
  <si>
    <t>440.30921035432618</t>
  </si>
  <si>
    <t>243</t>
  </si>
  <si>
    <t>00671</t>
  </si>
  <si>
    <t>Antah</t>
  </si>
  <si>
    <t>543.45369724006912</t>
  </si>
  <si>
    <t>00672</t>
  </si>
  <si>
    <t>Baran</t>
  </si>
  <si>
    <t>626.86592397834795</t>
  </si>
  <si>
    <t>00673</t>
  </si>
  <si>
    <t>Atru</t>
  </si>
  <si>
    <t>833.69579259836735</t>
  </si>
  <si>
    <t>00674</t>
  </si>
  <si>
    <t>Kishanganj</t>
  </si>
  <si>
    <t>1425.892437150517</t>
  </si>
  <si>
    <t>00675</t>
  </si>
  <si>
    <t>1471.3692117233759</t>
  </si>
  <si>
    <t>00676</t>
  </si>
  <si>
    <t>Chhabra</t>
  </si>
  <si>
    <t>188</t>
  </si>
  <si>
    <t>800.04589192517471</t>
  </si>
  <si>
    <t>00677</t>
  </si>
  <si>
    <t>Chhipabarod</t>
  </si>
  <si>
    <t>850.36991648681487</t>
  </si>
  <si>
    <t>00678</t>
  </si>
  <si>
    <t>Khanpur</t>
  </si>
  <si>
    <t>919.087615052366</t>
  </si>
  <si>
    <t>00679</t>
  </si>
  <si>
    <t>Jhalrapatan</t>
  </si>
  <si>
    <t>1266.9511276819553</t>
  </si>
  <si>
    <t>00680</t>
  </si>
  <si>
    <t>Aklera</t>
  </si>
  <si>
    <t>780.30332458212865</t>
  </si>
  <si>
    <t>00681</t>
  </si>
  <si>
    <t>Manohar Thana</t>
  </si>
  <si>
    <t>624.27938318247573</t>
  </si>
  <si>
    <t>00682</t>
  </si>
  <si>
    <t>Pachpahar</t>
  </si>
  <si>
    <t>688.02528771378866</t>
  </si>
  <si>
    <t>261</t>
  </si>
  <si>
    <t>00683</t>
  </si>
  <si>
    <t>Pirawa</t>
  </si>
  <si>
    <t>1028.5338960119527</t>
  </si>
  <si>
    <t>00684</t>
  </si>
  <si>
    <t>Gangdhar</t>
  </si>
  <si>
    <t>911.83472048975386</t>
  </si>
  <si>
    <t>00685</t>
  </si>
  <si>
    <t>Mavli</t>
  </si>
  <si>
    <t>841.81577686270305</t>
  </si>
  <si>
    <t>00686</t>
  </si>
  <si>
    <t>Gogunda</t>
  </si>
  <si>
    <t>1012.5036458696628</t>
  </si>
  <si>
    <t>00687</t>
  </si>
  <si>
    <t>Kotra</t>
  </si>
  <si>
    <t>1737.8017676595164</t>
  </si>
  <si>
    <t>00688</t>
  </si>
  <si>
    <t>Jhadol</t>
  </si>
  <si>
    <t>1429.5840071356295</t>
  </si>
  <si>
    <t>00689</t>
  </si>
  <si>
    <t>Girwa</t>
  </si>
  <si>
    <t>1865.9429909044625</t>
  </si>
  <si>
    <t>00690</t>
  </si>
  <si>
    <t>Vallabhnagar</t>
  </si>
  <si>
    <t>1071.4569633283197</t>
  </si>
  <si>
    <t>00691</t>
  </si>
  <si>
    <t>Lasadiya</t>
  </si>
  <si>
    <t>547.78023159282066</t>
  </si>
  <si>
    <t>00692</t>
  </si>
  <si>
    <t>Salumbar</t>
  </si>
  <si>
    <t>268</t>
  </si>
  <si>
    <t>982.57269674007728</t>
  </si>
  <si>
    <t>00693</t>
  </si>
  <si>
    <t>Sarada</t>
  </si>
  <si>
    <t>926.52266046007514</t>
  </si>
  <si>
    <t>00694</t>
  </si>
  <si>
    <t>Rishabhdeo</t>
  </si>
  <si>
    <t>670.51174386458968</t>
  </si>
  <si>
    <t>00695</t>
  </si>
  <si>
    <t>Kherwara</t>
  </si>
  <si>
    <t>637.51041823671449</t>
  </si>
  <si>
    <t>00696</t>
  </si>
  <si>
    <t>Dhariawad</t>
  </si>
  <si>
    <t>922.85133028364316</t>
  </si>
  <si>
    <t>00697</t>
  </si>
  <si>
    <t>Peepalkhoont</t>
  </si>
  <si>
    <t>836.12659387741951</t>
  </si>
  <si>
    <t>00698</t>
  </si>
  <si>
    <t>Chhoti Sadri</t>
  </si>
  <si>
    <t>720.76368544197555</t>
  </si>
  <si>
    <t>00699</t>
  </si>
  <si>
    <t>Pratapgarh</t>
  </si>
  <si>
    <t>1318.0830341428371</t>
  </si>
  <si>
    <t>00700</t>
  </si>
  <si>
    <t>Arnod</t>
  </si>
  <si>
    <t>651.16783756537973</t>
  </si>
  <si>
    <t>09</t>
  </si>
  <si>
    <t>00701</t>
  </si>
  <si>
    <t>Behat</t>
  </si>
  <si>
    <t>1019.9456015478672</t>
  </si>
  <si>
    <t>00702</t>
  </si>
  <si>
    <t>Saharanpur</t>
  </si>
  <si>
    <t>786.69214175075513</t>
  </si>
  <si>
    <t>1741</t>
  </si>
  <si>
    <t>00703</t>
  </si>
  <si>
    <t>Nakur</t>
  </si>
  <si>
    <t>860.10299964647766</t>
  </si>
  <si>
    <t>00704</t>
  </si>
  <si>
    <t>Deoband</t>
  </si>
  <si>
    <t>551.80596896180043</t>
  </si>
  <si>
    <t>00705</t>
  </si>
  <si>
    <t>Rampur Maniharan</t>
  </si>
  <si>
    <t>470.45604414324339</t>
  </si>
  <si>
    <t>00706</t>
  </si>
  <si>
    <t>Kairana</t>
  </si>
  <si>
    <t>655.2445942971774</t>
  </si>
  <si>
    <t>00707</t>
  </si>
  <si>
    <t>Shamli</t>
  </si>
  <si>
    <t>610.46280412178271</t>
  </si>
  <si>
    <t>00708</t>
  </si>
  <si>
    <t>Muzaffarnagar</t>
  </si>
  <si>
    <t>1044.9256386973557</t>
  </si>
  <si>
    <t>00709</t>
  </si>
  <si>
    <t>Budhana</t>
  </si>
  <si>
    <t>520.88890300810453</t>
  </si>
  <si>
    <t>00710</t>
  </si>
  <si>
    <t>Khatauli</t>
  </si>
  <si>
    <t>437.56938420516366</t>
  </si>
  <si>
    <t>00711</t>
  </si>
  <si>
    <t>Jansath</t>
  </si>
  <si>
    <t>738.90469827545553</t>
  </si>
  <si>
    <t>00712</t>
  </si>
  <si>
    <t>Najibabad</t>
  </si>
  <si>
    <t>891.44760762344254</t>
  </si>
  <si>
    <t>00713</t>
  </si>
  <si>
    <t>Bijnor</t>
  </si>
  <si>
    <t>830.63064182886717</t>
  </si>
  <si>
    <t>00714</t>
  </si>
  <si>
    <t>Nagina</t>
  </si>
  <si>
    <t>692.35733548671624</t>
  </si>
  <si>
    <t>00715</t>
  </si>
  <si>
    <t>Dhampur</t>
  </si>
  <si>
    <t>658</t>
  </si>
  <si>
    <t>231</t>
  </si>
  <si>
    <t>1350.1693269497082</t>
  </si>
  <si>
    <t>00716</t>
  </si>
  <si>
    <t>Chandpur</t>
  </si>
  <si>
    <t>796.39173196265676</t>
  </si>
  <si>
    <t>00717</t>
  </si>
  <si>
    <t>Thakurdwara</t>
  </si>
  <si>
    <t>541.12359844112098</t>
  </si>
  <si>
    <t>00718</t>
  </si>
  <si>
    <t>Kanth</t>
  </si>
  <si>
    <t>395.36667179833864</t>
  </si>
  <si>
    <t>00719</t>
  </si>
  <si>
    <t>Moradabad</t>
  </si>
  <si>
    <t>754.77808623584713</t>
  </si>
  <si>
    <t>00720</t>
  </si>
  <si>
    <t>Bilari</t>
  </si>
  <si>
    <t>542.14196103042116</t>
  </si>
  <si>
    <t>00721</t>
  </si>
  <si>
    <t>Sambhal</t>
  </si>
  <si>
    <t>867.50376691281906</t>
  </si>
  <si>
    <t>00722</t>
  </si>
  <si>
    <t>Chandausi</t>
  </si>
  <si>
    <t>617.08739792415383</t>
  </si>
  <si>
    <t>00723</t>
  </si>
  <si>
    <t>Suar</t>
  </si>
  <si>
    <t>407.75524063797889</t>
  </si>
  <si>
    <t>00724</t>
  </si>
  <si>
    <t>Tanda</t>
  </si>
  <si>
    <t>312.58824604063756</t>
  </si>
  <si>
    <t>00725</t>
  </si>
  <si>
    <t>486.53764411163553</t>
  </si>
  <si>
    <t>594</t>
  </si>
  <si>
    <t>00726</t>
  </si>
  <si>
    <t>328.77655265527437</t>
  </si>
  <si>
    <t>00727</t>
  </si>
  <si>
    <t>Shahabad</t>
  </si>
  <si>
    <t>430.29696688758798</t>
  </si>
  <si>
    <t>825</t>
  </si>
  <si>
    <t>00728</t>
  </si>
  <si>
    <t>Milak</t>
  </si>
  <si>
    <t>401.04024427581305</t>
  </si>
  <si>
    <t>00729</t>
  </si>
  <si>
    <t>Dhanaura</t>
  </si>
  <si>
    <t>288</t>
  </si>
  <si>
    <t>711.58920138823066</t>
  </si>
  <si>
    <t>00730</t>
  </si>
  <si>
    <t>Amroha</t>
  </si>
  <si>
    <t>633.99097649787939</t>
  </si>
  <si>
    <t>00731</t>
  </si>
  <si>
    <t>Hasanpur</t>
  </si>
  <si>
    <t>903.4204295630077</t>
  </si>
  <si>
    <t>138</t>
  </si>
  <si>
    <t>00732</t>
  </si>
  <si>
    <t>Sardhana</t>
  </si>
  <si>
    <t>585.31828682815296</t>
  </si>
  <si>
    <t>00733</t>
  </si>
  <si>
    <t>Mawana</t>
  </si>
  <si>
    <t>1044.2343017796461</t>
  </si>
  <si>
    <t>00734</t>
  </si>
  <si>
    <t>Meerut</t>
  </si>
  <si>
    <t>929.44164881527979</t>
  </si>
  <si>
    <t>00735</t>
  </si>
  <si>
    <t>Baraut</t>
  </si>
  <si>
    <t>731.01416858124901</t>
  </si>
  <si>
    <t>00736</t>
  </si>
  <si>
    <t>Baghpat</t>
  </si>
  <si>
    <t>436.80530882368464</t>
  </si>
  <si>
    <t>00737</t>
  </si>
  <si>
    <t>Khekada</t>
  </si>
  <si>
    <t>48</t>
  </si>
  <si>
    <t>153.17861202521456</t>
  </si>
  <si>
    <t>00738</t>
  </si>
  <si>
    <t>Modinagar</t>
  </si>
  <si>
    <t>263.31486984654885</t>
  </si>
  <si>
    <t>00739</t>
  </si>
  <si>
    <t>Ghaziabad</t>
  </si>
  <si>
    <t>457</t>
  </si>
  <si>
    <t>00740</t>
  </si>
  <si>
    <t>Hapur</t>
  </si>
  <si>
    <t>377.70875776137007</t>
  </si>
  <si>
    <t>00741</t>
  </si>
  <si>
    <t>Garhmukteshwar</t>
  </si>
  <si>
    <t>271.50987651201183</t>
  </si>
  <si>
    <t>00742</t>
  </si>
  <si>
    <t>578.97060348630077</t>
  </si>
  <si>
    <t>00743</t>
  </si>
  <si>
    <t>Gautam Buddha Nagar</t>
  </si>
  <si>
    <t>333.0740153337743</t>
  </si>
  <si>
    <t>00744</t>
  </si>
  <si>
    <t>Jewar</t>
  </si>
  <si>
    <t>369.96037834003357</t>
  </si>
  <si>
    <t>598</t>
  </si>
  <si>
    <t>00745</t>
  </si>
  <si>
    <t>Sikandrabad</t>
  </si>
  <si>
    <t>388.32776652241489</t>
  </si>
  <si>
    <t>00746</t>
  </si>
  <si>
    <t>Bulandshahr</t>
  </si>
  <si>
    <t>753.27187135085614</t>
  </si>
  <si>
    <t>00747</t>
  </si>
  <si>
    <t>Siana</t>
  </si>
  <si>
    <t>873.78053240943086</t>
  </si>
  <si>
    <t>584</t>
  </si>
  <si>
    <t>00748</t>
  </si>
  <si>
    <t>Anupshahr</t>
  </si>
  <si>
    <t>427.99387593417532</t>
  </si>
  <si>
    <t>00749</t>
  </si>
  <si>
    <t>Debai</t>
  </si>
  <si>
    <t>681.42507397611439</t>
  </si>
  <si>
    <t>636</t>
  </si>
  <si>
    <t>00750</t>
  </si>
  <si>
    <t>Shikarpur</t>
  </si>
  <si>
    <t>703.05992924311647</t>
  </si>
  <si>
    <t>619</t>
  </si>
  <si>
    <t>00751</t>
  </si>
  <si>
    <t>Khurja</t>
  </si>
  <si>
    <t>684.12777481779744</t>
  </si>
  <si>
    <t>00752</t>
  </si>
  <si>
    <t>Khair</t>
  </si>
  <si>
    <t>688.30545866079638</t>
  </si>
  <si>
    <t>621</t>
  </si>
  <si>
    <t>00753</t>
  </si>
  <si>
    <t>Gabhana</t>
  </si>
  <si>
    <t>472.5</t>
  </si>
  <si>
    <t>632</t>
  </si>
  <si>
    <t>00754</t>
  </si>
  <si>
    <t>Atrauli</t>
  </si>
  <si>
    <t>902.87</t>
  </si>
  <si>
    <t>00755</t>
  </si>
  <si>
    <t>Koil</t>
  </si>
  <si>
    <t>1046.1819449175161</t>
  </si>
  <si>
    <t>00756</t>
  </si>
  <si>
    <t>Iglas</t>
  </si>
  <si>
    <t>540.14386033085657</t>
  </si>
  <si>
    <t>00757</t>
  </si>
  <si>
    <t>Sasni</t>
  </si>
  <si>
    <t>281.73719363394486</t>
  </si>
  <si>
    <t>00758</t>
  </si>
  <si>
    <t>Sikandra Rao</t>
  </si>
  <si>
    <t>584.97287856298965</t>
  </si>
  <si>
    <t>00759</t>
  </si>
  <si>
    <t>Hathras</t>
  </si>
  <si>
    <t>491.75927078348889</t>
  </si>
  <si>
    <t>00760</t>
  </si>
  <si>
    <t>Sadabad</t>
  </si>
  <si>
    <t>481.53411770979955</t>
  </si>
  <si>
    <t>00761</t>
  </si>
  <si>
    <t>Chhata</t>
  </si>
  <si>
    <t>165</t>
  </si>
  <si>
    <t>1056.5631024150687</t>
  </si>
  <si>
    <t>539</t>
  </si>
  <si>
    <t>00762</t>
  </si>
  <si>
    <t>Mat</t>
  </si>
  <si>
    <t>730.57240741895623</t>
  </si>
  <si>
    <t>00763</t>
  </si>
  <si>
    <t>Mahavan</t>
  </si>
  <si>
    <t>475.16971885354519</t>
  </si>
  <si>
    <t>00764</t>
  </si>
  <si>
    <t>Mathura</t>
  </si>
  <si>
    <t>1077.6939503360225</t>
  </si>
  <si>
    <t>00765</t>
  </si>
  <si>
    <t>Etmadpur</t>
  </si>
  <si>
    <t>469.88203889617432</t>
  </si>
  <si>
    <t>00766</t>
  </si>
  <si>
    <t>Agra</t>
  </si>
  <si>
    <t>542.60903054314849</t>
  </si>
  <si>
    <t>00767</t>
  </si>
  <si>
    <t>Kiraoli</t>
  </si>
  <si>
    <t>719.63570583823287</t>
  </si>
  <si>
    <t>00768</t>
  </si>
  <si>
    <t>Kheragarh</t>
  </si>
  <si>
    <t>800.75307823354035</t>
  </si>
  <si>
    <t>00769</t>
  </si>
  <si>
    <t>623.33278013791687</t>
  </si>
  <si>
    <t>739</t>
  </si>
  <si>
    <t>00770</t>
  </si>
  <si>
    <t>Bah</t>
  </si>
  <si>
    <t>884.78118765388706</t>
  </si>
  <si>
    <t>487</t>
  </si>
  <si>
    <t>00771</t>
  </si>
  <si>
    <t>Tundla</t>
  </si>
  <si>
    <t>385.78630117707468</t>
  </si>
  <si>
    <t>00772</t>
  </si>
  <si>
    <t>Firozabad</t>
  </si>
  <si>
    <t>450.8644052359781</t>
  </si>
  <si>
    <t>00773</t>
  </si>
  <si>
    <t>Jasrana</t>
  </si>
  <si>
    <t>820.24194832149715</t>
  </si>
  <si>
    <t>00774</t>
  </si>
  <si>
    <t>Shikohabad</t>
  </si>
  <si>
    <t>280</t>
  </si>
  <si>
    <t>750.11023554803546</t>
  </si>
  <si>
    <t>00775</t>
  </si>
  <si>
    <t>Mainpuri</t>
  </si>
  <si>
    <t>1015.0678929832437</t>
  </si>
  <si>
    <t>00776</t>
  </si>
  <si>
    <t>Karhal</t>
  </si>
  <si>
    <t>551.91638160239165</t>
  </si>
  <si>
    <t>00777</t>
  </si>
  <si>
    <t>Bhogaon</t>
  </si>
  <si>
    <t>1193.0052912146693</t>
  </si>
  <si>
    <t>00778</t>
  </si>
  <si>
    <t>Gunnaur</t>
  </si>
  <si>
    <t>307</t>
  </si>
  <si>
    <t>905.76936340209795</t>
  </si>
  <si>
    <t>00779</t>
  </si>
  <si>
    <t>Bisauli</t>
  </si>
  <si>
    <t>932.40506640505441</t>
  </si>
  <si>
    <t>00780</t>
  </si>
  <si>
    <t>Bilsi</t>
  </si>
  <si>
    <t>360.73240417155921</t>
  </si>
  <si>
    <t>1120</t>
  </si>
  <si>
    <t>00781</t>
  </si>
  <si>
    <t>Sahaswan</t>
  </si>
  <si>
    <t>721.95192042138274</t>
  </si>
  <si>
    <t>00782</t>
  </si>
  <si>
    <t>Budaun</t>
  </si>
  <si>
    <t>373</t>
  </si>
  <si>
    <t>1161.4410199701665</t>
  </si>
  <si>
    <t>864</t>
  </si>
  <si>
    <t>00783</t>
  </si>
  <si>
    <t>Dataganj</t>
  </si>
  <si>
    <t>394</t>
  </si>
  <si>
    <t>1085.6899097566995</t>
  </si>
  <si>
    <t>150</t>
  </si>
  <si>
    <t>00784</t>
  </si>
  <si>
    <t>Baheri</t>
  </si>
  <si>
    <t>839.83103533426095</t>
  </si>
  <si>
    <t>803</t>
  </si>
  <si>
    <t>00785</t>
  </si>
  <si>
    <t>Meerganj</t>
  </si>
  <si>
    <t>524.95639858765367</t>
  </si>
  <si>
    <t>00786</t>
  </si>
  <si>
    <t>Aonla</t>
  </si>
  <si>
    <t>326</t>
  </si>
  <si>
    <t>807.2079107827517</t>
  </si>
  <si>
    <t>00787</t>
  </si>
  <si>
    <t>Bareilly</t>
  </si>
  <si>
    <t>728.40399952845655</t>
  </si>
  <si>
    <t>00788</t>
  </si>
  <si>
    <t>Nawabganj</t>
  </si>
  <si>
    <t>575.01227927422667</t>
  </si>
  <si>
    <t>00789</t>
  </si>
  <si>
    <t>Faridpur</t>
  </si>
  <si>
    <t>644.57796647117323</t>
  </si>
  <si>
    <t>00790</t>
  </si>
  <si>
    <t>Pilibhit</t>
  </si>
  <si>
    <t>1046.9484624475201</t>
  </si>
  <si>
    <t>00791</t>
  </si>
  <si>
    <t>Bisalpur</t>
  </si>
  <si>
    <t>926.73145184635314</t>
  </si>
  <si>
    <t>687</t>
  </si>
  <si>
    <t>00792</t>
  </si>
  <si>
    <t>Puranpur</t>
  </si>
  <si>
    <t>1712.3302197499427</t>
  </si>
  <si>
    <t>00793</t>
  </si>
  <si>
    <t>Powayan</t>
  </si>
  <si>
    <t>671</t>
  </si>
  <si>
    <t>1296.3913501349516</t>
  </si>
  <si>
    <t>00794</t>
  </si>
  <si>
    <t>Tilhar</t>
  </si>
  <si>
    <t>567</t>
  </si>
  <si>
    <t>1091.1612233447916</t>
  </si>
  <si>
    <t>675</t>
  </si>
  <si>
    <t>00795</t>
  </si>
  <si>
    <t>Shahjahanpur</t>
  </si>
  <si>
    <t>1042.4322240094868</t>
  </si>
  <si>
    <t>958</t>
  </si>
  <si>
    <t>00796</t>
  </si>
  <si>
    <t>Jalalabad</t>
  </si>
  <si>
    <t>958.01423185646763</t>
  </si>
  <si>
    <t>623</t>
  </si>
  <si>
    <t>00797</t>
  </si>
  <si>
    <t>Nighasan</t>
  </si>
  <si>
    <t>862.96380911541735</t>
  </si>
  <si>
    <t>00798</t>
  </si>
  <si>
    <t>Palia</t>
  </si>
  <si>
    <t>1575.9264952556262</t>
  </si>
  <si>
    <t>00799</t>
  </si>
  <si>
    <t>Gola Gokaran Nath</t>
  </si>
  <si>
    <t>1318.0626478699392</t>
  </si>
  <si>
    <t>00800</t>
  </si>
  <si>
    <t>Mohammdi</t>
  </si>
  <si>
    <t>1324.3467161376252</t>
  </si>
  <si>
    <t>00801</t>
  </si>
  <si>
    <t>Lakhimpur</t>
  </si>
  <si>
    <t>1474.0687768706832</t>
  </si>
  <si>
    <t>787</t>
  </si>
  <si>
    <t>00802</t>
  </si>
  <si>
    <t>Dhaurahara</t>
  </si>
  <si>
    <t>1124.6311715052298</t>
  </si>
  <si>
    <t>00803</t>
  </si>
  <si>
    <t>Misrikh</t>
  </si>
  <si>
    <t>1392.6489483303137</t>
  </si>
  <si>
    <t>00804</t>
  </si>
  <si>
    <t>Sitapur</t>
  </si>
  <si>
    <t>848.29476766181995</t>
  </si>
  <si>
    <t>00805</t>
  </si>
  <si>
    <t>Laharpur</t>
  </si>
  <si>
    <t>964.67107754916537</t>
  </si>
  <si>
    <t>00806</t>
  </si>
  <si>
    <t>Biswan</t>
  </si>
  <si>
    <t>967.82254719158061</t>
  </si>
  <si>
    <t>775</t>
  </si>
  <si>
    <t>00807</t>
  </si>
  <si>
    <t>Mahmudabad</t>
  </si>
  <si>
    <t>806.80732848765672</t>
  </si>
  <si>
    <t>00808</t>
  </si>
  <si>
    <t>Sidhauli</t>
  </si>
  <si>
    <t>762.74895355257581</t>
  </si>
  <si>
    <t>00809</t>
  </si>
  <si>
    <t>Shahabad</t>
  </si>
  <si>
    <t>970.16951148459543</t>
  </si>
  <si>
    <t>00810</t>
  </si>
  <si>
    <t>Sawayajpur</t>
  </si>
  <si>
    <t>1039.4495703749487</t>
  </si>
  <si>
    <t>465</t>
  </si>
  <si>
    <t>00811</t>
  </si>
  <si>
    <t>Hardoi</t>
  </si>
  <si>
    <t>443</t>
  </si>
  <si>
    <t>1584.7580327087414</t>
  </si>
  <si>
    <t>00812</t>
  </si>
  <si>
    <t>Bilgram</t>
  </si>
  <si>
    <t>950.181292280364</t>
  </si>
  <si>
    <t>00813</t>
  </si>
  <si>
    <t>Sandila</t>
  </si>
  <si>
    <t>1441.4417756772609</t>
  </si>
  <si>
    <t>00814</t>
  </si>
  <si>
    <t>Safipur</t>
  </si>
  <si>
    <t>1025.2596223120102</t>
  </si>
  <si>
    <t>694</t>
  </si>
  <si>
    <t>00815</t>
  </si>
  <si>
    <t>Hasanganj</t>
  </si>
  <si>
    <t>1117.2187265462471</t>
  </si>
  <si>
    <t>00816</t>
  </si>
  <si>
    <t>Unnao</t>
  </si>
  <si>
    <t>1000.7503103288509</t>
  </si>
  <si>
    <t>00817</t>
  </si>
  <si>
    <t>Purwa</t>
  </si>
  <si>
    <t>793.28576664715172</t>
  </si>
  <si>
    <t>00818</t>
  </si>
  <si>
    <t>Bighapur</t>
  </si>
  <si>
    <t>621.48242721978352</t>
  </si>
  <si>
    <t>548</t>
  </si>
  <si>
    <t>00819</t>
  </si>
  <si>
    <t>Malihabad</t>
  </si>
  <si>
    <t>474.52025252284017</t>
  </si>
  <si>
    <t>00820</t>
  </si>
  <si>
    <t>Bakshi Ka Talab</t>
  </si>
  <si>
    <t>418.0314740727286</t>
  </si>
  <si>
    <t>836</t>
  </si>
  <si>
    <t>00821</t>
  </si>
  <si>
    <t>Lucknow</t>
  </si>
  <si>
    <t>937.57480694220749</t>
  </si>
  <si>
    <t>00822</t>
  </si>
  <si>
    <t>Mohanlalganj</t>
  </si>
  <si>
    <t>697.87329559636794</t>
  </si>
  <si>
    <t>00823</t>
  </si>
  <si>
    <t>Maharajganj</t>
  </si>
  <si>
    <t>722.76461248836335</t>
  </si>
  <si>
    <t>600</t>
  </si>
  <si>
    <t>00824</t>
  </si>
  <si>
    <t>Tiloi</t>
  </si>
  <si>
    <t>672.03479745319339</t>
  </si>
  <si>
    <t>00825</t>
  </si>
  <si>
    <t>Rae Bareli</t>
  </si>
  <si>
    <t>972.62663830555823</t>
  </si>
  <si>
    <t>00826</t>
  </si>
  <si>
    <t>Lalganj</t>
  </si>
  <si>
    <t>715.47142127842608</t>
  </si>
  <si>
    <t>00827</t>
  </si>
  <si>
    <t>Dalmau</t>
  </si>
  <si>
    <t>428.57122041504459</t>
  </si>
  <si>
    <t>00828</t>
  </si>
  <si>
    <t>Unchahar</t>
  </si>
  <si>
    <t>428.99778366698098</t>
  </si>
  <si>
    <t>00829</t>
  </si>
  <si>
    <t>Salon</t>
  </si>
  <si>
    <t>668.53905958366568</t>
  </si>
  <si>
    <t>00830</t>
  </si>
  <si>
    <t>Kaimganj</t>
  </si>
  <si>
    <t>382</t>
  </si>
  <si>
    <t>941.93049715055793</t>
  </si>
  <si>
    <t>707</t>
  </si>
  <si>
    <t>00831</t>
  </si>
  <si>
    <t>Amritpur</t>
  </si>
  <si>
    <t>353.46488575546351</t>
  </si>
  <si>
    <t>527</t>
  </si>
  <si>
    <t>00832</t>
  </si>
  <si>
    <t>Farrukhabad</t>
  </si>
  <si>
    <t>885.60535409837087</t>
  </si>
  <si>
    <t>00833</t>
  </si>
  <si>
    <t>Chhibramau</t>
  </si>
  <si>
    <t>321</t>
  </si>
  <si>
    <t>872.3602515396642</t>
  </si>
  <si>
    <t>00834</t>
  </si>
  <si>
    <t>Kannauj</t>
  </si>
  <si>
    <t>55</t>
  </si>
  <si>
    <t>488.34101615240382</t>
  </si>
  <si>
    <t>00835</t>
  </si>
  <si>
    <t>Tirwa</t>
  </si>
  <si>
    <t>732.29860143831434</t>
  </si>
  <si>
    <t>592</t>
  </si>
  <si>
    <t>00836</t>
  </si>
  <si>
    <t>Jaswantnagar</t>
  </si>
  <si>
    <t>283.86223919726871</t>
  </si>
  <si>
    <t>00837</t>
  </si>
  <si>
    <t>Saifai</t>
  </si>
  <si>
    <t>167.52035645336929</t>
  </si>
  <si>
    <t>00838</t>
  </si>
  <si>
    <t>Etawah</t>
  </si>
  <si>
    <t>645.41970861920379</t>
  </si>
  <si>
    <t>00839</t>
  </si>
  <si>
    <t>Bharthana</t>
  </si>
  <si>
    <t>708.37768201653591</t>
  </si>
  <si>
    <t>754</t>
  </si>
  <si>
    <t>00840</t>
  </si>
  <si>
    <t>Chakarnagar</t>
  </si>
  <si>
    <t>505.81769394572854</t>
  </si>
  <si>
    <t>00841</t>
  </si>
  <si>
    <t>Bidhuna</t>
  </si>
  <si>
    <t>1111.3394681492803</t>
  </si>
  <si>
    <t>611</t>
  </si>
  <si>
    <t>00842</t>
  </si>
  <si>
    <t>Auraiya</t>
  </si>
  <si>
    <t>904.66277418451932</t>
  </si>
  <si>
    <t>00843</t>
  </si>
  <si>
    <t>Rasulabad</t>
  </si>
  <si>
    <t>644.83534763693558</t>
  </si>
  <si>
    <t>00844</t>
  </si>
  <si>
    <t>Derapur</t>
  </si>
  <si>
    <t>433.65817811906305</t>
  </si>
  <si>
    <t>00845</t>
  </si>
  <si>
    <t>Akbarpur</t>
  </si>
  <si>
    <t>803.35728782205922</t>
  </si>
  <si>
    <t>00846</t>
  </si>
  <si>
    <t>Bhognipur</t>
  </si>
  <si>
    <t>629.77680629219924</t>
  </si>
  <si>
    <t>00847</t>
  </si>
  <si>
    <t>Sikandra</t>
  </si>
  <si>
    <t>509.36807398290239</t>
  </si>
  <si>
    <t>00848</t>
  </si>
  <si>
    <t>Bilhaur</t>
  </si>
  <si>
    <t>868.07747307937154</t>
  </si>
  <si>
    <t>00849</t>
  </si>
  <si>
    <t>Kanpur</t>
  </si>
  <si>
    <t>1122.070875568844</t>
  </si>
  <si>
    <t>00850</t>
  </si>
  <si>
    <t>Ghatampur</t>
  </si>
  <si>
    <t>1164.8527357086534</t>
  </si>
  <si>
    <t>00851</t>
  </si>
  <si>
    <t>Madhogarh</t>
  </si>
  <si>
    <t>827.31386039011193</t>
  </si>
  <si>
    <t>409</t>
  </si>
  <si>
    <t>00852</t>
  </si>
  <si>
    <t>Jalaun</t>
  </si>
  <si>
    <t>681.74144779230141</t>
  </si>
  <si>
    <t>00853</t>
  </si>
  <si>
    <t>Kalpi</t>
  </si>
  <si>
    <t>1252.3736685257929</t>
  </si>
  <si>
    <t>00854</t>
  </si>
  <si>
    <t>Orai</t>
  </si>
  <si>
    <t>927.39943961748395</t>
  </si>
  <si>
    <t>00855</t>
  </si>
  <si>
    <t>Konch</t>
  </si>
  <si>
    <t>876.16701034621099</t>
  </si>
  <si>
    <t>00856</t>
  </si>
  <si>
    <t>Moth</t>
  </si>
  <si>
    <t>798.81941768172885</t>
  </si>
  <si>
    <t>00857</t>
  </si>
  <si>
    <t>Garautha</t>
  </si>
  <si>
    <t>1047.2328994171976</t>
  </si>
  <si>
    <t>00858</t>
  </si>
  <si>
    <t>Tahrauli</t>
  </si>
  <si>
    <t>880.47145301506407</t>
  </si>
  <si>
    <t>00859</t>
  </si>
  <si>
    <t>Mauranipur</t>
  </si>
  <si>
    <t>1112.1466815641734</t>
  </si>
  <si>
    <t>00860</t>
  </si>
  <si>
    <t>Jhansi</t>
  </si>
  <si>
    <t>1185.331251772931</t>
  </si>
  <si>
    <t>00861</t>
  </si>
  <si>
    <t>Talbehat</t>
  </si>
  <si>
    <t>1196.645675804584</t>
  </si>
  <si>
    <t>00862</t>
  </si>
  <si>
    <t>Lalitpur</t>
  </si>
  <si>
    <t>1833.9385391870242</t>
  </si>
  <si>
    <t>00863</t>
  </si>
  <si>
    <t>Mahroni</t>
  </si>
  <si>
    <t>2008.4104176559806</t>
  </si>
  <si>
    <t>168</t>
  </si>
  <si>
    <t>00864</t>
  </si>
  <si>
    <t>1105.331270472338</t>
  </si>
  <si>
    <t>00865</t>
  </si>
  <si>
    <t>Rath</t>
  </si>
  <si>
    <t>763.16176690037628</t>
  </si>
  <si>
    <t>287</t>
  </si>
  <si>
    <t>00866</t>
  </si>
  <si>
    <t>Sarila</t>
  </si>
  <si>
    <t>913.85706892489088</t>
  </si>
  <si>
    <t>00867</t>
  </si>
  <si>
    <t>Maudaha</t>
  </si>
  <si>
    <t>1238.6510287758765</t>
  </si>
  <si>
    <t>00868</t>
  </si>
  <si>
    <t>Kulpahar</t>
  </si>
  <si>
    <t>1176.2959292378025</t>
  </si>
  <si>
    <t>286</t>
  </si>
  <si>
    <t>00869</t>
  </si>
  <si>
    <t>Charkhari</t>
  </si>
  <si>
    <t>781.92053059447005</t>
  </si>
  <si>
    <t>00870</t>
  </si>
  <si>
    <t>Mahoba</t>
  </si>
  <si>
    <t>1185.7862997954787</t>
  </si>
  <si>
    <t>323</t>
  </si>
  <si>
    <t>00871</t>
  </si>
  <si>
    <t>Banda</t>
  </si>
  <si>
    <t>1600.0295709223437</t>
  </si>
  <si>
    <t>415</t>
  </si>
  <si>
    <t>00872</t>
  </si>
  <si>
    <t>Baberu</t>
  </si>
  <si>
    <t>1288.1672487067731</t>
  </si>
  <si>
    <t>00873</t>
  </si>
  <si>
    <t>Atarra</t>
  </si>
  <si>
    <t>755.39687444633319</t>
  </si>
  <si>
    <t>00874</t>
  </si>
  <si>
    <t>Naraini</t>
  </si>
  <si>
    <t>764.41100960523511</t>
  </si>
  <si>
    <t>00875</t>
  </si>
  <si>
    <t>Karwi</t>
  </si>
  <si>
    <t>2389.6361881256271</t>
  </si>
  <si>
    <t>00876</t>
  </si>
  <si>
    <t>Mau</t>
  </si>
  <si>
    <t>826.36840983106481</t>
  </si>
  <si>
    <t>00877</t>
  </si>
  <si>
    <t>Bindki</t>
  </si>
  <si>
    <t>1289.0649422429442</t>
  </si>
  <si>
    <t>582</t>
  </si>
  <si>
    <t>00878</t>
  </si>
  <si>
    <t>1632.1726975930003</t>
  </si>
  <si>
    <t>00879</t>
  </si>
  <si>
    <t>Khaga</t>
  </si>
  <si>
    <t>1230.759387315394</t>
  </si>
  <si>
    <t>639</t>
  </si>
  <si>
    <t>00880</t>
  </si>
  <si>
    <t>442</t>
  </si>
  <si>
    <t>818.17355282259007</t>
  </si>
  <si>
    <t>00881</t>
  </si>
  <si>
    <t>Kunda</t>
  </si>
  <si>
    <t>1071.4358307229259</t>
  </si>
  <si>
    <t>00882</t>
  </si>
  <si>
    <t>641.0470572693215</t>
  </si>
  <si>
    <t>00883</t>
  </si>
  <si>
    <t>Patti</t>
  </si>
  <si>
    <t>664.74715458916569</t>
  </si>
  <si>
    <t>00884</t>
  </si>
  <si>
    <t>Raniganj</t>
  </si>
  <si>
    <t>521.59981524599834</t>
  </si>
  <si>
    <t>00885</t>
  </si>
  <si>
    <t>Sirathu</t>
  </si>
  <si>
    <t>589.3108176300608</t>
  </si>
  <si>
    <t>00886</t>
  </si>
  <si>
    <t>Manjhanpur</t>
  </si>
  <si>
    <t>691.86838024381245</t>
  </si>
  <si>
    <t>00887</t>
  </si>
  <si>
    <t>Chail</t>
  </si>
  <si>
    <t>497.81794218859989</t>
  </si>
  <si>
    <t>00888</t>
  </si>
  <si>
    <t>Soraon</t>
  </si>
  <si>
    <t>669.87068030413718</t>
  </si>
  <si>
    <t>00889</t>
  </si>
  <si>
    <t>Phulpur</t>
  </si>
  <si>
    <t>503</t>
  </si>
  <si>
    <t>744.09483796726829</t>
  </si>
  <si>
    <t>1155</t>
  </si>
  <si>
    <t>00890</t>
  </si>
  <si>
    <t>Allahabad</t>
  </si>
  <si>
    <t>305.43412669457359</t>
  </si>
  <si>
    <t>00891</t>
  </si>
  <si>
    <t>Bara</t>
  </si>
  <si>
    <t>294</t>
  </si>
  <si>
    <t>745.20887708495036</t>
  </si>
  <si>
    <t>00892</t>
  </si>
  <si>
    <t>Karchhana</t>
  </si>
  <si>
    <t>303</t>
  </si>
  <si>
    <t>590.29497024391685</t>
  </si>
  <si>
    <t>1028</t>
  </si>
  <si>
    <t>00893</t>
  </si>
  <si>
    <t>Handia</t>
  </si>
  <si>
    <t>609</t>
  </si>
  <si>
    <t>751.92434653265968</t>
  </si>
  <si>
    <t>00894</t>
  </si>
  <si>
    <t>Meja</t>
  </si>
  <si>
    <t>845.0455228742286</t>
  </si>
  <si>
    <t>00895</t>
  </si>
  <si>
    <t>Koraon</t>
  </si>
  <si>
    <t>830.11531638118186</t>
  </si>
  <si>
    <t>00896</t>
  </si>
  <si>
    <t>839.75907327172467</t>
  </si>
  <si>
    <t>00897</t>
  </si>
  <si>
    <t>Ramnagar</t>
  </si>
  <si>
    <t>507.36087226176801</t>
  </si>
  <si>
    <t>00898</t>
  </si>
  <si>
    <t>1052.0559808758976</t>
  </si>
  <si>
    <t>930</t>
  </si>
  <si>
    <t>00899</t>
  </si>
  <si>
    <t>Sirauli Gauspur</t>
  </si>
  <si>
    <t>473.28031935741762</t>
  </si>
  <si>
    <t>679</t>
  </si>
  <si>
    <t>00900</t>
  </si>
  <si>
    <t>Ramsanehighat</t>
  </si>
  <si>
    <t>663.47830398075564</t>
  </si>
  <si>
    <t>00901</t>
  </si>
  <si>
    <t>Haidergarh</t>
  </si>
  <si>
    <t>866.07353502644264</t>
  </si>
  <si>
    <t>00902</t>
  </si>
  <si>
    <t>Rudauli</t>
  </si>
  <si>
    <t>504.54402807392358</t>
  </si>
  <si>
    <t>00903</t>
  </si>
  <si>
    <t>Milkipur</t>
  </si>
  <si>
    <t>546.43649899987884</t>
  </si>
  <si>
    <t>00904</t>
  </si>
  <si>
    <t>Sohawal</t>
  </si>
  <si>
    <t>378.09852642015062</t>
  </si>
  <si>
    <t>00905</t>
  </si>
  <si>
    <t>Faizabad</t>
  </si>
  <si>
    <t>425.45798287462242</t>
  </si>
  <si>
    <t>00906</t>
  </si>
  <si>
    <t>Bikapur</t>
  </si>
  <si>
    <t>486.45327596137776</t>
  </si>
  <si>
    <t>925</t>
  </si>
  <si>
    <t>00907</t>
  </si>
  <si>
    <t>366</t>
  </si>
  <si>
    <t>485.01203081356442</t>
  </si>
  <si>
    <t>00908</t>
  </si>
  <si>
    <t>Allapur</t>
  </si>
  <si>
    <t>452.75544537150063</t>
  </si>
  <si>
    <t>00909</t>
  </si>
  <si>
    <t>Jalalpur</t>
  </si>
  <si>
    <t>512.19643063056026</t>
  </si>
  <si>
    <t>00910</t>
  </si>
  <si>
    <t>Akbarpur</t>
  </si>
  <si>
    <t>609.31201779482421</t>
  </si>
  <si>
    <t>00911</t>
  </si>
  <si>
    <t>Bhiti</t>
  </si>
  <si>
    <t>290.71797815084142</t>
  </si>
  <si>
    <t>00912</t>
  </si>
  <si>
    <t>Musafirkhana</t>
  </si>
  <si>
    <t>789.9219723531105</t>
  </si>
  <si>
    <t>00913</t>
  </si>
  <si>
    <t>Gauriganj</t>
  </si>
  <si>
    <t>587.9279959850229</t>
  </si>
  <si>
    <t>00914</t>
  </si>
  <si>
    <t>Amethi</t>
  </si>
  <si>
    <t>601.5100447486908</t>
  </si>
  <si>
    <t>00915</t>
  </si>
  <si>
    <t>Sultanpur</t>
  </si>
  <si>
    <t>766.86576859426532</t>
  </si>
  <si>
    <t>00916</t>
  </si>
  <si>
    <t>384</t>
  </si>
  <si>
    <t>521.90010348844726</t>
  </si>
  <si>
    <t>805</t>
  </si>
  <si>
    <t>00917</t>
  </si>
  <si>
    <t>Lambhua</t>
  </si>
  <si>
    <t>448</t>
  </si>
  <si>
    <t>549.22019698167514</t>
  </si>
  <si>
    <t>00918</t>
  </si>
  <si>
    <t>Kadipur</t>
  </si>
  <si>
    <t>618.64880153469755</t>
  </si>
  <si>
    <t>846</t>
  </si>
  <si>
    <t>00919</t>
  </si>
  <si>
    <t>Nanpara</t>
  </si>
  <si>
    <t>2356.9551337913008</t>
  </si>
  <si>
    <t>00920</t>
  </si>
  <si>
    <t>Mahasi</t>
  </si>
  <si>
    <t>950.63319913885505</t>
  </si>
  <si>
    <t>575</t>
  </si>
  <si>
    <t>00921</t>
  </si>
  <si>
    <t>Bahraich</t>
  </si>
  <si>
    <t>870.01699569477535</t>
  </si>
  <si>
    <t>970</t>
  </si>
  <si>
    <t>00922</t>
  </si>
  <si>
    <t>Kaiserganj</t>
  </si>
  <si>
    <t>1059.4003966602254</t>
  </si>
  <si>
    <t>00923</t>
  </si>
  <si>
    <t>Bhinga</t>
  </si>
  <si>
    <t>1131.6106276113251</t>
  </si>
  <si>
    <t>602</t>
  </si>
  <si>
    <t>00924</t>
  </si>
  <si>
    <t>Ikauna</t>
  </si>
  <si>
    <t>508.38602425617137</t>
  </si>
  <si>
    <t>00925</t>
  </si>
  <si>
    <t>Balrampur</t>
  </si>
  <si>
    <t>1074.3770956810292</t>
  </si>
  <si>
    <t>620</t>
  </si>
  <si>
    <t>00926</t>
  </si>
  <si>
    <t>Tulsipur</t>
  </si>
  <si>
    <t>1536.8474774397851</t>
  </si>
  <si>
    <t>00927</t>
  </si>
  <si>
    <t>Utraula</t>
  </si>
  <si>
    <t>737.77186122911837</t>
  </si>
  <si>
    <t>00928</t>
  </si>
  <si>
    <t>Gonda</t>
  </si>
  <si>
    <t>589</t>
  </si>
  <si>
    <t>1174.6088955068751</t>
  </si>
  <si>
    <t>00929</t>
  </si>
  <si>
    <t>Colonelganj</t>
  </si>
  <si>
    <t>1032.6693838939354</t>
  </si>
  <si>
    <t>00930</t>
  </si>
  <si>
    <t>Tarabganj</t>
  </si>
  <si>
    <t>1069.6036881940406</t>
  </si>
  <si>
    <t>00931</t>
  </si>
  <si>
    <t>Mankapur</t>
  </si>
  <si>
    <t>726.12091471988322</t>
  </si>
  <si>
    <t>00932</t>
  </si>
  <si>
    <t>Shohratgarh</t>
  </si>
  <si>
    <t>518.73286126054336</t>
  </si>
  <si>
    <t>00933</t>
  </si>
  <si>
    <t>Naugarh</t>
  </si>
  <si>
    <t>453</t>
  </si>
  <si>
    <t>644.59020802438681</t>
  </si>
  <si>
    <t>00934</t>
  </si>
  <si>
    <t>Bansi</t>
  </si>
  <si>
    <t>640.6840402685649</t>
  </si>
  <si>
    <t>00935</t>
  </si>
  <si>
    <t>Itwa</t>
  </si>
  <si>
    <t>585.5107158660403</t>
  </si>
  <si>
    <t>00936</t>
  </si>
  <si>
    <t>Domariyaganj</t>
  </si>
  <si>
    <t>505.48090221625625</t>
  </si>
  <si>
    <t>941</t>
  </si>
  <si>
    <t>00937</t>
  </si>
  <si>
    <t>Bhanpur</t>
  </si>
  <si>
    <t>417.32847572463584</t>
  </si>
  <si>
    <t>00938</t>
  </si>
  <si>
    <t>Harraiya</t>
  </si>
  <si>
    <t>1457</t>
  </si>
  <si>
    <t>1213.3255446245944</t>
  </si>
  <si>
    <t>00939</t>
  </si>
  <si>
    <t>Basti</t>
  </si>
  <si>
    <t>828.52904465823838</t>
  </si>
  <si>
    <t>00940</t>
  </si>
  <si>
    <t>Rudhauli</t>
  </si>
  <si>
    <t>228.80522562402297</t>
  </si>
  <si>
    <t>00941</t>
  </si>
  <si>
    <t>Mehdawal</t>
  </si>
  <si>
    <t>477.8833189971179</t>
  </si>
  <si>
    <t>00942</t>
  </si>
  <si>
    <t>Khalilabad</t>
  </si>
  <si>
    <t>586.24015977292152</t>
  </si>
  <si>
    <t>00943</t>
  </si>
  <si>
    <t>Ghanghata</t>
  </si>
  <si>
    <t>534</t>
  </si>
  <si>
    <t>581.87051280932678</t>
  </si>
  <si>
    <t>00944</t>
  </si>
  <si>
    <t>Nautanwa</t>
  </si>
  <si>
    <t>662.73970057760835</t>
  </si>
  <si>
    <t>00945</t>
  </si>
  <si>
    <t>Nichlaul</t>
  </si>
  <si>
    <t>696.77112797909035</t>
  </si>
  <si>
    <t>00946</t>
  </si>
  <si>
    <t>Pharenda</t>
  </si>
  <si>
    <t>499.05830555893488</t>
  </si>
  <si>
    <t>00947</t>
  </si>
  <si>
    <t>1093.4337123003957</t>
  </si>
  <si>
    <t>00948</t>
  </si>
  <si>
    <t>Campierganj</t>
  </si>
  <si>
    <t>360.15008561497189</t>
  </si>
  <si>
    <t>00949</t>
  </si>
  <si>
    <t>Sahjanwa</t>
  </si>
  <si>
    <t>345.5341593973896</t>
  </si>
  <si>
    <t>00950</t>
  </si>
  <si>
    <t>Gorakhpur</t>
  </si>
  <si>
    <t>440</t>
  </si>
  <si>
    <t>840.14662572510497</t>
  </si>
  <si>
    <t>00951</t>
  </si>
  <si>
    <t>Chauri Chaura</t>
  </si>
  <si>
    <t>370.10796169238984</t>
  </si>
  <si>
    <t>1225</t>
  </si>
  <si>
    <t>00952</t>
  </si>
  <si>
    <t>Bansgaon</t>
  </si>
  <si>
    <t>504.96368886141386</t>
  </si>
  <si>
    <t>00953</t>
  </si>
  <si>
    <t>Khajni</t>
  </si>
  <si>
    <t>394.79562743526071</t>
  </si>
  <si>
    <t>00954</t>
  </si>
  <si>
    <t>Gola</t>
  </si>
  <si>
    <t>626</t>
  </si>
  <si>
    <t>505.30527920502595</t>
  </si>
  <si>
    <t>00955</t>
  </si>
  <si>
    <t>Padrauna</t>
  </si>
  <si>
    <t>1013.5218614939345</t>
  </si>
  <si>
    <t>00956</t>
  </si>
  <si>
    <t>Hata</t>
  </si>
  <si>
    <t>775.98389848500938</t>
  </si>
  <si>
    <t>00957</t>
  </si>
  <si>
    <t>Kasya</t>
  </si>
  <si>
    <t>448.92505377201911</t>
  </si>
  <si>
    <t>00958</t>
  </si>
  <si>
    <t>Tamkuhi Raj</t>
  </si>
  <si>
    <t>666.56948751337416</t>
  </si>
  <si>
    <t>00959</t>
  </si>
  <si>
    <t>Deoria</t>
  </si>
  <si>
    <t>926.51028219484681</t>
  </si>
  <si>
    <t>00960</t>
  </si>
  <si>
    <t>Rudrapur</t>
  </si>
  <si>
    <t>395.57849528678673</t>
  </si>
  <si>
    <t>00961</t>
  </si>
  <si>
    <t>Barhaj</t>
  </si>
  <si>
    <t>374.07503004342857</t>
  </si>
  <si>
    <t>00962</t>
  </si>
  <si>
    <t>Salempur</t>
  </si>
  <si>
    <t>471</t>
  </si>
  <si>
    <t>484.65982349754569</t>
  </si>
  <si>
    <t>00963</t>
  </si>
  <si>
    <t>Bhatpar Rani</t>
  </si>
  <si>
    <t>359.17441800584044</t>
  </si>
  <si>
    <t>00964</t>
  </si>
  <si>
    <t>Burhanpur</t>
  </si>
  <si>
    <t>422.90719016753252</t>
  </si>
  <si>
    <t>00965</t>
  </si>
  <si>
    <t>Sagri</t>
  </si>
  <si>
    <t>882</t>
  </si>
  <si>
    <t>881.25397689339047</t>
  </si>
  <si>
    <t>00966</t>
  </si>
  <si>
    <t>Azamgarh</t>
  </si>
  <si>
    <t>579.0931990200113</t>
  </si>
  <si>
    <t>00967</t>
  </si>
  <si>
    <t>Nizamabad</t>
  </si>
  <si>
    <t>536</t>
  </si>
  <si>
    <t>486.92227196882675</t>
  </si>
  <si>
    <t>00968</t>
  </si>
  <si>
    <t>665.99864330090054</t>
  </si>
  <si>
    <t>00969</t>
  </si>
  <si>
    <t>Lalganj</t>
  </si>
  <si>
    <t>517</t>
  </si>
  <si>
    <t>626.79227823327471</t>
  </si>
  <si>
    <t>00970</t>
  </si>
  <si>
    <t>Mehnagar</t>
  </si>
  <si>
    <t>391.03453355037499</t>
  </si>
  <si>
    <t>00971</t>
  </si>
  <si>
    <t>Ghosi</t>
  </si>
  <si>
    <t>347.47795560528772</t>
  </si>
  <si>
    <t>00972</t>
  </si>
  <si>
    <t>Madhuban</t>
  </si>
  <si>
    <t>464.80777489742701</t>
  </si>
  <si>
    <t>00973</t>
  </si>
  <si>
    <t>Maunath Bhanjan</t>
  </si>
  <si>
    <t>512.42463068635425</t>
  </si>
  <si>
    <t>00974</t>
  </si>
  <si>
    <t>Muhammadabad Gohna</t>
  </si>
  <si>
    <t>388.28654433050963</t>
  </si>
  <si>
    <t>00975</t>
  </si>
  <si>
    <t>Belthara Road</t>
  </si>
  <si>
    <t>364.00666045845776</t>
  </si>
  <si>
    <t>00976</t>
  </si>
  <si>
    <t>Sikanderpur</t>
  </si>
  <si>
    <t>397.70983074944161</t>
  </si>
  <si>
    <t>00977</t>
  </si>
  <si>
    <t>Rasra</t>
  </si>
  <si>
    <t>530.48334589761419</t>
  </si>
  <si>
    <t>00978</t>
  </si>
  <si>
    <t>Ballia</t>
  </si>
  <si>
    <t>804.35265780143823</t>
  </si>
  <si>
    <t>00979</t>
  </si>
  <si>
    <t>Bansdih</t>
  </si>
  <si>
    <t>551.79625364612025</t>
  </si>
  <si>
    <t>00980</t>
  </si>
  <si>
    <t>Bairia</t>
  </si>
  <si>
    <t>332.65318907903816</t>
  </si>
  <si>
    <t>00981</t>
  </si>
  <si>
    <t>Shahganj</t>
  </si>
  <si>
    <t>704.56019210839111</t>
  </si>
  <si>
    <t>00982</t>
  </si>
  <si>
    <t>Badlapur</t>
  </si>
  <si>
    <t>459.72505729426285</t>
  </si>
  <si>
    <t>00983</t>
  </si>
  <si>
    <t>Machhlishahr</t>
  </si>
  <si>
    <t>811.75552323521924</t>
  </si>
  <si>
    <t>00984</t>
  </si>
  <si>
    <t>Jaunpur</t>
  </si>
  <si>
    <t>710.82174744880933</t>
  </si>
  <si>
    <t>00985</t>
  </si>
  <si>
    <t>Mariahu</t>
  </si>
  <si>
    <t>757.66899870004499</t>
  </si>
  <si>
    <t>00986</t>
  </si>
  <si>
    <t>Kerakat</t>
  </si>
  <si>
    <t>593.46439046219962</t>
  </si>
  <si>
    <t>00987</t>
  </si>
  <si>
    <t>Jakhania</t>
  </si>
  <si>
    <t>505</t>
  </si>
  <si>
    <t>550.66876588474281</t>
  </si>
  <si>
    <t>00988</t>
  </si>
  <si>
    <t>Saidpur</t>
  </si>
  <si>
    <t>565.01715545567583</t>
  </si>
  <si>
    <t>00989</t>
  </si>
  <si>
    <t>Ghazipur</t>
  </si>
  <si>
    <t>678.03927475319858</t>
  </si>
  <si>
    <t>00990</t>
  </si>
  <si>
    <t>Mohammadabad</t>
  </si>
  <si>
    <t>833</t>
  </si>
  <si>
    <t>869.99830136461685</t>
  </si>
  <si>
    <t>00991</t>
  </si>
  <si>
    <t>Zamania</t>
  </si>
  <si>
    <t>281</t>
  </si>
  <si>
    <t>713.27692613072861</t>
  </si>
  <si>
    <t>00992</t>
  </si>
  <si>
    <t>Sakaldiha</t>
  </si>
  <si>
    <t>661.70692977720785</t>
  </si>
  <si>
    <t>00993</t>
  </si>
  <si>
    <t>Chandauli</t>
  </si>
  <si>
    <t>438</t>
  </si>
  <si>
    <t>650.16474673842595</t>
  </si>
  <si>
    <t>00994</t>
  </si>
  <si>
    <t>Chakia</t>
  </si>
  <si>
    <t>1229.1181613174726</t>
  </si>
  <si>
    <t>00995</t>
  </si>
  <si>
    <t>Pindra</t>
  </si>
  <si>
    <t>694.62132925744527</t>
  </si>
  <si>
    <t>00996</t>
  </si>
  <si>
    <t>Varanasi</t>
  </si>
  <si>
    <t>835</t>
  </si>
  <si>
    <t>840.37752655016095</t>
  </si>
  <si>
    <t>00997</t>
  </si>
  <si>
    <t>Bhadohi</t>
  </si>
  <si>
    <t>352.55549245872811</t>
  </si>
  <si>
    <t>1614</t>
  </si>
  <si>
    <t>00998</t>
  </si>
  <si>
    <t>Gyanpur</t>
  </si>
  <si>
    <t>401.58996858810514</t>
  </si>
  <si>
    <t>00999</t>
  </si>
  <si>
    <t>Aurai</t>
  </si>
  <si>
    <t>260.8588390906479</t>
  </si>
  <si>
    <t>01000</t>
  </si>
  <si>
    <t>Mirzapur</t>
  </si>
  <si>
    <t>1159.7428790960587</t>
  </si>
  <si>
    <t>1015</t>
  </si>
  <si>
    <t>01001</t>
  </si>
  <si>
    <t>1344.7101432085894</t>
  </si>
  <si>
    <t>01002</t>
  </si>
  <si>
    <t>Marihan</t>
  </si>
  <si>
    <t>863.48825690752324</t>
  </si>
  <si>
    <t>01003</t>
  </si>
  <si>
    <t>Chunar</t>
  </si>
  <si>
    <t>1037.0571233941896</t>
  </si>
  <si>
    <t>01004</t>
  </si>
  <si>
    <t>Ghorawal</t>
  </si>
  <si>
    <t>858.60481283829608</t>
  </si>
  <si>
    <t>01005</t>
  </si>
  <si>
    <t>Robertsganj</t>
  </si>
  <si>
    <t>770</t>
  </si>
  <si>
    <t>3356.2111044438116</t>
  </si>
  <si>
    <t>269</t>
  </si>
  <si>
    <t>01006</t>
  </si>
  <si>
    <t>Dudhi</t>
  </si>
  <si>
    <t>2690.1834533503097</t>
  </si>
  <si>
    <t>01007</t>
  </si>
  <si>
    <t>Aliganj</t>
  </si>
  <si>
    <t>652.89370625845754</t>
  </si>
  <si>
    <t>01008</t>
  </si>
  <si>
    <t>Etah</t>
  </si>
  <si>
    <t>1249.821233872206</t>
  </si>
  <si>
    <t>01009</t>
  </si>
  <si>
    <t>Jalesar</t>
  </si>
  <si>
    <t>528.2795625748073</t>
  </si>
  <si>
    <t>01010</t>
  </si>
  <si>
    <t>Kasganj</t>
  </si>
  <si>
    <t>590.87393017682314</t>
  </si>
  <si>
    <t>946</t>
  </si>
  <si>
    <t>01011</t>
  </si>
  <si>
    <t>Sahawar</t>
  </si>
  <si>
    <t>472.18034413979905</t>
  </si>
  <si>
    <t>01012</t>
  </si>
  <si>
    <t>Patiyali</t>
  </si>
  <si>
    <t>891.94328572149743</t>
  </si>
  <si>
    <t>628</t>
  </si>
  <si>
    <t>01013</t>
  </si>
  <si>
    <t>Sidhaw</t>
  </si>
  <si>
    <t>874.64438485195603</t>
  </si>
  <si>
    <t>01014</t>
  </si>
  <si>
    <t>666.52448047071164</t>
  </si>
  <si>
    <t>01015</t>
  </si>
  <si>
    <t>Gaunaha</t>
  </si>
  <si>
    <t>469.28246446620602</t>
  </si>
  <si>
    <t>01016</t>
  </si>
  <si>
    <t>Mainatanr</t>
  </si>
  <si>
    <t>240.73284972407674</t>
  </si>
  <si>
    <t>792</t>
  </si>
  <si>
    <t>01017</t>
  </si>
  <si>
    <t>Narkatiaganj</t>
  </si>
  <si>
    <t>353.64533107462597</t>
  </si>
  <si>
    <t>01018</t>
  </si>
  <si>
    <t>Lauriya</t>
  </si>
  <si>
    <t>205.45741170236647</t>
  </si>
  <si>
    <t>01019</t>
  </si>
  <si>
    <t>Bagaha</t>
  </si>
  <si>
    <t>379.42074658065098</t>
  </si>
  <si>
    <t>01020</t>
  </si>
  <si>
    <t>Piprasi</t>
  </si>
  <si>
    <t>153.38858600570987</t>
  </si>
  <si>
    <t>01021</t>
  </si>
  <si>
    <t>Madhubani</t>
  </si>
  <si>
    <t>150.38421683499152</t>
  </si>
  <si>
    <t>596</t>
  </si>
  <si>
    <t>01022</t>
  </si>
  <si>
    <t>Bhitaha</t>
  </si>
  <si>
    <t>136.81275609829831</t>
  </si>
  <si>
    <t>01023</t>
  </si>
  <si>
    <t>Thakrahan</t>
  </si>
  <si>
    <t>142.4692580542025</t>
  </si>
  <si>
    <t>01024</t>
  </si>
  <si>
    <t>Jogapatti</t>
  </si>
  <si>
    <t>213.20661218408142</t>
  </si>
  <si>
    <t>1142</t>
  </si>
  <si>
    <t>01025</t>
  </si>
  <si>
    <t>Chanpatia</t>
  </si>
  <si>
    <t>260.73780444358408</t>
  </si>
  <si>
    <t>01026</t>
  </si>
  <si>
    <t>Sikta</t>
  </si>
  <si>
    <t>194.64168268778045</t>
  </si>
  <si>
    <t>974</t>
  </si>
  <si>
    <t>01027</t>
  </si>
  <si>
    <t>Majhaulia</t>
  </si>
  <si>
    <t>290.87473519399674</t>
  </si>
  <si>
    <t>01028</t>
  </si>
  <si>
    <t>Bettiah</t>
  </si>
  <si>
    <t>68.126660919461585</t>
  </si>
  <si>
    <t>01029</t>
  </si>
  <si>
    <t>237.23120565613607</t>
  </si>
  <si>
    <t>01030</t>
  </si>
  <si>
    <t>Nautan</t>
  </si>
  <si>
    <t>190.41484606139051</t>
  </si>
  <si>
    <t>01031</t>
  </si>
  <si>
    <t>Raxaul</t>
  </si>
  <si>
    <t>130.69187150483702</t>
  </si>
  <si>
    <t>01032</t>
  </si>
  <si>
    <t>Adapur</t>
  </si>
  <si>
    <t>158.45494589929157</t>
  </si>
  <si>
    <t>01033</t>
  </si>
  <si>
    <t>Ramgarhwa</t>
  </si>
  <si>
    <t>164.97034601876746</t>
  </si>
  <si>
    <t>01034</t>
  </si>
  <si>
    <t>Sugauli</t>
  </si>
  <si>
    <t>168.70528876241607</t>
  </si>
  <si>
    <t>01035</t>
  </si>
  <si>
    <t>Banjaria</t>
  </si>
  <si>
    <t>137.61189042154149</t>
  </si>
  <si>
    <t>01036</t>
  </si>
  <si>
    <t>Narkatia</t>
  </si>
  <si>
    <t>136.01416491453628</t>
  </si>
  <si>
    <t>01037</t>
  </si>
  <si>
    <t>Bankatwa</t>
  </si>
  <si>
    <t>63.29690466388908</t>
  </si>
  <si>
    <t>01038</t>
  </si>
  <si>
    <t>Ghorasahan</t>
  </si>
  <si>
    <t>135.3398002524886</t>
  </si>
  <si>
    <t>1292</t>
  </si>
  <si>
    <t>01039</t>
  </si>
  <si>
    <t>Dhaka</t>
  </si>
  <si>
    <t>177.11928477657997</t>
  </si>
  <si>
    <t>01040</t>
  </si>
  <si>
    <t>Chiraia</t>
  </si>
  <si>
    <t>213.8669714377003</t>
  </si>
  <si>
    <t>01041</t>
  </si>
  <si>
    <t>Motihari</t>
  </si>
  <si>
    <t>236.97174224354868</t>
  </si>
  <si>
    <t>01042</t>
  </si>
  <si>
    <t>Turkaulia</t>
  </si>
  <si>
    <t>139.6868586124574</t>
  </si>
  <si>
    <t>01043</t>
  </si>
  <si>
    <t>Harsidhi</t>
  </si>
  <si>
    <t>185.35690849451603</t>
  </si>
  <si>
    <t>01044</t>
  </si>
  <si>
    <t>Paharpur</t>
  </si>
  <si>
    <t>155.88198534255588</t>
  </si>
  <si>
    <t>01045</t>
  </si>
  <si>
    <t>Areraj</t>
  </si>
  <si>
    <t>199.72606321660854</t>
  </si>
  <si>
    <t>821</t>
  </si>
  <si>
    <t>01046</t>
  </si>
  <si>
    <t>Sangrampur</t>
  </si>
  <si>
    <t>144.09616601815364</t>
  </si>
  <si>
    <t>01047</t>
  </si>
  <si>
    <t>Kesaria</t>
  </si>
  <si>
    <t>189.05035187434632</t>
  </si>
  <si>
    <t>01048</t>
  </si>
  <si>
    <t>Kalyanpur</t>
  </si>
  <si>
    <t>245.53098603107671</t>
  </si>
  <si>
    <t>01049</t>
  </si>
  <si>
    <t>Kotwa</t>
  </si>
  <si>
    <t>141.51283062046338</t>
  </si>
  <si>
    <t>01050</t>
  </si>
  <si>
    <t>Piprakothi</t>
  </si>
  <si>
    <t>62.321669614158616</t>
  </si>
  <si>
    <t>01051</t>
  </si>
  <si>
    <t>Chakia(Pipra)</t>
  </si>
  <si>
    <t>173.9757079673424</t>
  </si>
  <si>
    <t>01052</t>
  </si>
  <si>
    <t>Pakri Dayal</t>
  </si>
  <si>
    <t>118.16943847265968</t>
  </si>
  <si>
    <t>01053</t>
  </si>
  <si>
    <t>Patahi</t>
  </si>
  <si>
    <t>116.73771042092771</t>
  </si>
  <si>
    <t>01054</t>
  </si>
  <si>
    <t>Phenhara</t>
  </si>
  <si>
    <t>56.708880657731143</t>
  </si>
  <si>
    <t>01055</t>
  </si>
  <si>
    <t>117.79594419829482</t>
  </si>
  <si>
    <t>01056</t>
  </si>
  <si>
    <t>Tetaria</t>
  </si>
  <si>
    <t>81.484000857266821</t>
  </si>
  <si>
    <t>01057</t>
  </si>
  <si>
    <t>Mehsi</t>
  </si>
  <si>
    <t>116.90370787620098</t>
  </si>
  <si>
    <t>01058</t>
  </si>
  <si>
    <t>Purnahiya</t>
  </si>
  <si>
    <t>52.45677030781188</t>
  </si>
  <si>
    <t>01059</t>
  </si>
  <si>
    <t>Piprarhi</t>
  </si>
  <si>
    <t>69.157995865331856</t>
  </si>
  <si>
    <t>01060</t>
  </si>
  <si>
    <t>Sheohar</t>
  </si>
  <si>
    <t>67.755978403213106</t>
  </si>
  <si>
    <t>01061</t>
  </si>
  <si>
    <t>Dumri Katsari</t>
  </si>
  <si>
    <t>52.628947890879097</t>
  </si>
  <si>
    <t>01062</t>
  </si>
  <si>
    <t>Tariani Chowk</t>
  </si>
  <si>
    <t>106.99606947748438</t>
  </si>
  <si>
    <t>01063</t>
  </si>
  <si>
    <t>Bairgania</t>
  </si>
  <si>
    <t>72.167501840019384</t>
  </si>
  <si>
    <t>01064</t>
  </si>
  <si>
    <t>Suppi</t>
  </si>
  <si>
    <t>86.666262948195111</t>
  </si>
  <si>
    <t>01065</t>
  </si>
  <si>
    <t>Majorganj</t>
  </si>
  <si>
    <t>81.945736075765808</t>
  </si>
  <si>
    <t>01066</t>
  </si>
  <si>
    <t>Sonbarsa</t>
  </si>
  <si>
    <t>185.27524134783579</t>
  </si>
  <si>
    <t>01067</t>
  </si>
  <si>
    <t>Parihar</t>
  </si>
  <si>
    <t>224.12713533013408</t>
  </si>
  <si>
    <t>01068</t>
  </si>
  <si>
    <t>Sursand</t>
  </si>
  <si>
    <t>150.60003473653484</t>
  </si>
  <si>
    <t>01069</t>
  </si>
  <si>
    <t>Bathnaha</t>
  </si>
  <si>
    <t>204.70118833898491</t>
  </si>
  <si>
    <t>01070</t>
  </si>
  <si>
    <t>Riga</t>
  </si>
  <si>
    <t>140.85443087087432</t>
  </si>
  <si>
    <t>01071</t>
  </si>
  <si>
    <t>Parsauni</t>
  </si>
  <si>
    <t>59.691823677170532</t>
  </si>
  <si>
    <t>01072</t>
  </si>
  <si>
    <t>Belsand</t>
  </si>
  <si>
    <t>83.707776060405308</t>
  </si>
  <si>
    <t>01073</t>
  </si>
  <si>
    <t>Runisaidpur</t>
  </si>
  <si>
    <t>285.18943455091312</t>
  </si>
  <si>
    <t>01074</t>
  </si>
  <si>
    <t>Dumra</t>
  </si>
  <si>
    <t>198.92561283377765</t>
  </si>
  <si>
    <t>01075</t>
  </si>
  <si>
    <t>Bajpatti</t>
  </si>
  <si>
    <t>152.36207472117434</t>
  </si>
  <si>
    <t>01076</t>
  </si>
  <si>
    <t>Charaut</t>
  </si>
  <si>
    <t>68.306241379852565</t>
  </si>
  <si>
    <t>01077</t>
  </si>
  <si>
    <t>Pupri</t>
  </si>
  <si>
    <t>100.4036487543661</t>
  </si>
  <si>
    <t>01078</t>
  </si>
  <si>
    <t>Nanpur</t>
  </si>
  <si>
    <t>109.07245040719134</t>
  </si>
  <si>
    <t>01079</t>
  </si>
  <si>
    <t>Bokhara</t>
  </si>
  <si>
    <t>89.994560696958615</t>
  </si>
  <si>
    <t>01080</t>
  </si>
  <si>
    <t>Madhwapur</t>
  </si>
  <si>
    <t>107.576699886168</t>
  </si>
  <si>
    <t>01081</t>
  </si>
  <si>
    <t>Harlakhi</t>
  </si>
  <si>
    <t>144.19987961402731</t>
  </si>
  <si>
    <t>1361</t>
  </si>
  <si>
    <t>01082</t>
  </si>
  <si>
    <t>Basopatti</t>
  </si>
  <si>
    <t>139.31333070416278</t>
  </si>
  <si>
    <t>1245</t>
  </si>
  <si>
    <t>01083</t>
  </si>
  <si>
    <t>Jainagar</t>
  </si>
  <si>
    <t>123.54357626043867</t>
  </si>
  <si>
    <t>01084</t>
  </si>
  <si>
    <t>Ladania</t>
  </si>
  <si>
    <t>184.46462763777291</t>
  </si>
  <si>
    <t>952</t>
  </si>
  <si>
    <t>01085</t>
  </si>
  <si>
    <t>Laukaha</t>
  </si>
  <si>
    <t>216.41913006321386</t>
  </si>
  <si>
    <t>01086</t>
  </si>
  <si>
    <t>Laukahi</t>
  </si>
  <si>
    <t>260.25282251369703</t>
  </si>
  <si>
    <t>01087</t>
  </si>
  <si>
    <t>Phulparas</t>
  </si>
  <si>
    <t>162.32472238586021</t>
  </si>
  <si>
    <t>01088</t>
  </si>
  <si>
    <t>Babubarhi</t>
  </si>
  <si>
    <t>184.58912569917069</t>
  </si>
  <si>
    <t>01089</t>
  </si>
  <si>
    <t>Khajauli</t>
  </si>
  <si>
    <t>111.71626042764559</t>
  </si>
  <si>
    <t>01090</t>
  </si>
  <si>
    <t>Kaluahi</t>
  </si>
  <si>
    <t>94.203533124351949</t>
  </si>
  <si>
    <t>01091</t>
  </si>
  <si>
    <t>Benipatti</t>
  </si>
  <si>
    <t>271.07377901685766</t>
  </si>
  <si>
    <t>01092</t>
  </si>
  <si>
    <t>Bisfi</t>
  </si>
  <si>
    <t>180.78155998808731</t>
  </si>
  <si>
    <t>01093</t>
  </si>
  <si>
    <t>149.21092658528963</t>
  </si>
  <si>
    <t>01094</t>
  </si>
  <si>
    <t>Pandaul</t>
  </si>
  <si>
    <t>175.23102141743442</t>
  </si>
  <si>
    <t>01095</t>
  </si>
  <si>
    <t>Rajnagar</t>
  </si>
  <si>
    <t>177.7313574838407</t>
  </si>
  <si>
    <t>01096</t>
  </si>
  <si>
    <t>Andhratharhi</t>
  </si>
  <si>
    <t>145.32036216660768</t>
  </si>
  <si>
    <t>1319</t>
  </si>
  <si>
    <t>01097</t>
  </si>
  <si>
    <t>Jhanjharpur</t>
  </si>
  <si>
    <t>152.24037941263666</t>
  </si>
  <si>
    <t>01098</t>
  </si>
  <si>
    <t>Ghoghardiha</t>
  </si>
  <si>
    <t>168.45625190970296</t>
  </si>
  <si>
    <t>01099</t>
  </si>
  <si>
    <t>Lakhnaur</t>
  </si>
  <si>
    <t>118.47028025847742</t>
  </si>
  <si>
    <t>01100</t>
  </si>
  <si>
    <t>Madhepur</t>
  </si>
  <si>
    <t>233.8799831742584</t>
  </si>
  <si>
    <t>01101</t>
  </si>
  <si>
    <t>Nirmali</t>
  </si>
  <si>
    <t>129.77950642131623</t>
  </si>
  <si>
    <t>01102</t>
  </si>
  <si>
    <t>Basantpur</t>
  </si>
  <si>
    <t>256.79951920533415</t>
  </si>
  <si>
    <t>01103</t>
  </si>
  <si>
    <t>Chhatapur</t>
  </si>
  <si>
    <t>337.05392472479855</t>
  </si>
  <si>
    <t>01104</t>
  </si>
  <si>
    <t>Pratapganj</t>
  </si>
  <si>
    <t>106.27695117836424</t>
  </si>
  <si>
    <t>01105</t>
  </si>
  <si>
    <t>Raghopur</t>
  </si>
  <si>
    <t>202.75509664843526</t>
  </si>
  <si>
    <t>01106</t>
  </si>
  <si>
    <t>Saraigarh Bhaptiyahi</t>
  </si>
  <si>
    <t>190.91530696689497</t>
  </si>
  <si>
    <t>643</t>
  </si>
  <si>
    <t>01107</t>
  </si>
  <si>
    <t>Kishanpur</t>
  </si>
  <si>
    <t>234.192497746562</t>
  </si>
  <si>
    <t>01108</t>
  </si>
  <si>
    <t>Marauna</t>
  </si>
  <si>
    <t>166.94415846477909</t>
  </si>
  <si>
    <t>01109</t>
  </si>
  <si>
    <t>Supaul</t>
  </si>
  <si>
    <t>290.63195251696516</t>
  </si>
  <si>
    <t>01110</t>
  </si>
  <si>
    <t>Pipra</t>
  </si>
  <si>
    <t>199.49577020136215</t>
  </si>
  <si>
    <t>01111</t>
  </si>
  <si>
    <t>Tribeniganj</t>
  </si>
  <si>
    <t>310.15667164879278</t>
  </si>
  <si>
    <t>1040</t>
  </si>
  <si>
    <t>01112</t>
  </si>
  <si>
    <t>Narpatganj</t>
  </si>
  <si>
    <t>424.03018465450964</t>
  </si>
  <si>
    <t>01113</t>
  </si>
  <si>
    <t>Forbesganj</t>
  </si>
  <si>
    <t>442.17455627333425</t>
  </si>
  <si>
    <t>1099</t>
  </si>
  <si>
    <t>01114</t>
  </si>
  <si>
    <t>Bhargama</t>
  </si>
  <si>
    <t>205.45770802403956</t>
  </si>
  <si>
    <t>01115</t>
  </si>
  <si>
    <t>462.96498208657073</t>
  </si>
  <si>
    <t>01116</t>
  </si>
  <si>
    <t>Araria</t>
  </si>
  <si>
    <t>293.70999999999998</t>
  </si>
  <si>
    <t>01117</t>
  </si>
  <si>
    <t>Kursakatta</t>
  </si>
  <si>
    <t>214.90790157551069</t>
  </si>
  <si>
    <t>01118</t>
  </si>
  <si>
    <t>Sikti</t>
  </si>
  <si>
    <t>256.7</t>
  </si>
  <si>
    <t>618</t>
  </si>
  <si>
    <t>01119</t>
  </si>
  <si>
    <t>Palasi</t>
  </si>
  <si>
    <t>307.37279536912712</t>
  </si>
  <si>
    <t>01120</t>
  </si>
  <si>
    <t>Jokihat</t>
  </si>
  <si>
    <t>222.67806071783141</t>
  </si>
  <si>
    <t>01121</t>
  </si>
  <si>
    <t>Terhagachh</t>
  </si>
  <si>
    <t>203.70409484241421</t>
  </si>
  <si>
    <t>01122</t>
  </si>
  <si>
    <t>Dighalbank</t>
  </si>
  <si>
    <t>271.05802675202585</t>
  </si>
  <si>
    <t>01123</t>
  </si>
  <si>
    <t>Thakurganj</t>
  </si>
  <si>
    <t>401.69456222980085</t>
  </si>
  <si>
    <t>01124</t>
  </si>
  <si>
    <t>Pothia</t>
  </si>
  <si>
    <t>353.48767447671037</t>
  </si>
  <si>
    <t>01125</t>
  </si>
  <si>
    <t>Bahadurganj</t>
  </si>
  <si>
    <t>296.52841420214907</t>
  </si>
  <si>
    <t>01126</t>
  </si>
  <si>
    <t>Kochadhamin</t>
  </si>
  <si>
    <t>207.37222400028912</t>
  </si>
  <si>
    <t>01127</t>
  </si>
  <si>
    <t>150.16711056501231</t>
  </si>
  <si>
    <t>01128</t>
  </si>
  <si>
    <t>Banmankhi</t>
  </si>
  <si>
    <t>371.98834877774044</t>
  </si>
  <si>
    <t>01129</t>
  </si>
  <si>
    <t>Barhara</t>
  </si>
  <si>
    <t>235.66918318719996</t>
  </si>
  <si>
    <t>01130</t>
  </si>
  <si>
    <t>Bhawanipur</t>
  </si>
  <si>
    <t>145.19343155913657</t>
  </si>
  <si>
    <t>1114</t>
  </si>
  <si>
    <t>01131</t>
  </si>
  <si>
    <t>Rupauli</t>
  </si>
  <si>
    <t>286.0854542017301</t>
  </si>
  <si>
    <t>01132</t>
  </si>
  <si>
    <t>Dhamdaha</t>
  </si>
  <si>
    <t>345.55347650422829</t>
  </si>
  <si>
    <t>01133</t>
  </si>
  <si>
    <t>Krityanand Nagar</t>
  </si>
  <si>
    <t>283.52757754019359</t>
  </si>
  <si>
    <t>01134</t>
  </si>
  <si>
    <t>Purnia East</t>
  </si>
  <si>
    <t>256.30968179886412</t>
  </si>
  <si>
    <t>01135</t>
  </si>
  <si>
    <t>Kasba</t>
  </si>
  <si>
    <t>159.86207118958075</t>
  </si>
  <si>
    <t>01136</t>
  </si>
  <si>
    <t>159.66370524440035</t>
  </si>
  <si>
    <t>01137</t>
  </si>
  <si>
    <t>Jalalgarh</t>
  </si>
  <si>
    <t>114.63463568845327</t>
  </si>
  <si>
    <t>01138</t>
  </si>
  <si>
    <t>Amour</t>
  </si>
  <si>
    <t>200.69413495802706</t>
  </si>
  <si>
    <t>01139</t>
  </si>
  <si>
    <t>Baisa</t>
  </si>
  <si>
    <t>275.00828221034135</t>
  </si>
  <si>
    <t>01140</t>
  </si>
  <si>
    <t>Baisi</t>
  </si>
  <si>
    <t>176.63965402667949</t>
  </si>
  <si>
    <t>01141</t>
  </si>
  <si>
    <t>Dagarua</t>
  </si>
  <si>
    <t>218.17121875970929</t>
  </si>
  <si>
    <t>01142</t>
  </si>
  <si>
    <t>Falka</t>
  </si>
  <si>
    <t>210.38513220241742</t>
  </si>
  <si>
    <t>01143</t>
  </si>
  <si>
    <t>Korha</t>
  </si>
  <si>
    <t>323.55840109125887</t>
  </si>
  <si>
    <t>01144</t>
  </si>
  <si>
    <t>Hasanganj</t>
  </si>
  <si>
    <t>69.901751939383303</t>
  </si>
  <si>
    <t>01145</t>
  </si>
  <si>
    <t>Kadwa</t>
  </si>
  <si>
    <t>345.73283085506148</t>
  </si>
  <si>
    <t>01146</t>
  </si>
  <si>
    <t>225.26919519953589</t>
  </si>
  <si>
    <t>01147</t>
  </si>
  <si>
    <t>Barsoi</t>
  </si>
  <si>
    <t>232.63277942298728</t>
  </si>
  <si>
    <t>01148</t>
  </si>
  <si>
    <t>Azamnagar</t>
  </si>
  <si>
    <t>294.08314492409113</t>
  </si>
  <si>
    <t>01149</t>
  </si>
  <si>
    <t>Pranpur</t>
  </si>
  <si>
    <t>123.49693029302688</t>
  </si>
  <si>
    <t>01150</t>
  </si>
  <si>
    <t>Dandkhora</t>
  </si>
  <si>
    <t>75.717309934040955</t>
  </si>
  <si>
    <t>01151</t>
  </si>
  <si>
    <t>Katihar</t>
  </si>
  <si>
    <t>114.58531984078169</t>
  </si>
  <si>
    <t>01152</t>
  </si>
  <si>
    <t>Mansahi</t>
  </si>
  <si>
    <t>56.534336261015525</t>
  </si>
  <si>
    <t>01153</t>
  </si>
  <si>
    <t>Barari</t>
  </si>
  <si>
    <t>282.37881147800857</t>
  </si>
  <si>
    <t>01154</t>
  </si>
  <si>
    <t>Sameli</t>
  </si>
  <si>
    <t>108.73838293608092</t>
  </si>
  <si>
    <t>01155</t>
  </si>
  <si>
    <t>Kursela</t>
  </si>
  <si>
    <t>156.0682389177822</t>
  </si>
  <si>
    <t>01156</t>
  </si>
  <si>
    <t>Manihari</t>
  </si>
  <si>
    <t>260.00564861726622</t>
  </si>
  <si>
    <t>01157</t>
  </si>
  <si>
    <t>Amdabad</t>
  </si>
  <si>
    <t>177.94979885451565</t>
  </si>
  <si>
    <t>01158</t>
  </si>
  <si>
    <t>Gamharia</t>
  </si>
  <si>
    <t>54.197344649912274</t>
  </si>
  <si>
    <t>01159</t>
  </si>
  <si>
    <t>Singheshwar</t>
  </si>
  <si>
    <t>134.58594793962234</t>
  </si>
  <si>
    <t>01160</t>
  </si>
  <si>
    <t>Ghailarh</t>
  </si>
  <si>
    <t>40.194301644855031</t>
  </si>
  <si>
    <t>01161</t>
  </si>
  <si>
    <t>Madhepura</t>
  </si>
  <si>
    <t>146.61949078711999</t>
  </si>
  <si>
    <t>01162</t>
  </si>
  <si>
    <t>Shankarpur</t>
  </si>
  <si>
    <t>157.79717754520692</t>
  </si>
  <si>
    <t>01163</t>
  </si>
  <si>
    <t>Kumarkhand</t>
  </si>
  <si>
    <t>302.60184096201016</t>
  </si>
  <si>
    <t>01164</t>
  </si>
  <si>
    <t>Murliganj</t>
  </si>
  <si>
    <t>166.75788768614561</t>
  </si>
  <si>
    <t>01165</t>
  </si>
  <si>
    <t>Gwalpara</t>
  </si>
  <si>
    <t>181.7199019721088</t>
  </si>
  <si>
    <t>01166</t>
  </si>
  <si>
    <t>Bihariganj</t>
  </si>
  <si>
    <t>123.41857270068493</t>
  </si>
  <si>
    <t>01167</t>
  </si>
  <si>
    <t>97.1757564651395</t>
  </si>
  <si>
    <t>01168</t>
  </si>
  <si>
    <t>Puraini</t>
  </si>
  <si>
    <t>95.969308724644875</t>
  </si>
  <si>
    <t>01169</t>
  </si>
  <si>
    <t>Alamnagar</t>
  </si>
  <si>
    <t>185.90637874681664</t>
  </si>
  <si>
    <t>01170</t>
  </si>
  <si>
    <t>Chausa</t>
  </si>
  <si>
    <t>101.05288766536154</t>
  </si>
  <si>
    <t>01171</t>
  </si>
  <si>
    <t>Nauhatta</t>
  </si>
  <si>
    <t>181.66442715287897</t>
  </si>
  <si>
    <t>01172</t>
  </si>
  <si>
    <t>Satar Kataiya</t>
  </si>
  <si>
    <t>160.26675737293675</t>
  </si>
  <si>
    <t>01173</t>
  </si>
  <si>
    <t>Mahishi</t>
  </si>
  <si>
    <t>172.48647926890965</t>
  </si>
  <si>
    <t>01174</t>
  </si>
  <si>
    <t>Kahara</t>
  </si>
  <si>
    <t>138.65858420116035</t>
  </si>
  <si>
    <t>01175</t>
  </si>
  <si>
    <t>Saur Bazar</t>
  </si>
  <si>
    <t>235.63749681915726</t>
  </si>
  <si>
    <t>01176</t>
  </si>
  <si>
    <t>Patarghat</t>
  </si>
  <si>
    <t>174.34943428664195</t>
  </si>
  <si>
    <t>01177</t>
  </si>
  <si>
    <t>148.63644497409948</t>
  </si>
  <si>
    <t>01178</t>
  </si>
  <si>
    <t>Simri Bakhtiarpur</t>
  </si>
  <si>
    <t>253.19347969812611</t>
  </si>
  <si>
    <t>01179</t>
  </si>
  <si>
    <t>Salkhua</t>
  </si>
  <si>
    <t>157.05658064746581</t>
  </si>
  <si>
    <t>01180</t>
  </si>
  <si>
    <t>Banma Itahri</t>
  </si>
  <si>
    <t>65.04554807675504</t>
  </si>
  <si>
    <t>01181</t>
  </si>
  <si>
    <t>Jale</t>
  </si>
  <si>
    <t>174.44189450273819</t>
  </si>
  <si>
    <t>01182</t>
  </si>
  <si>
    <t>Singhwara</t>
  </si>
  <si>
    <t>158.14324561015007</t>
  </si>
  <si>
    <t>01183</t>
  </si>
  <si>
    <t>Keotiranway</t>
  </si>
  <si>
    <t>134.28648849633271</t>
  </si>
  <si>
    <t>01184</t>
  </si>
  <si>
    <t>Darbhanga</t>
  </si>
  <si>
    <t>196.17973266592307</t>
  </si>
  <si>
    <t>01185</t>
  </si>
  <si>
    <t>Manigachhi</t>
  </si>
  <si>
    <t>122.29189372221677</t>
  </si>
  <si>
    <t>01186</t>
  </si>
  <si>
    <t>Tardih</t>
  </si>
  <si>
    <t>78.456757931007573</t>
  </si>
  <si>
    <t>01187</t>
  </si>
  <si>
    <t>Alinagar</t>
  </si>
  <si>
    <t>83.41351476195139</t>
  </si>
  <si>
    <t>1724</t>
  </si>
  <si>
    <t>01188</t>
  </si>
  <si>
    <t>Benipur</t>
  </si>
  <si>
    <t>153.25270499641351</t>
  </si>
  <si>
    <t>01189</t>
  </si>
  <si>
    <t>Bahadurpur</t>
  </si>
  <si>
    <t>154.879732047792</t>
  </si>
  <si>
    <t>01190</t>
  </si>
  <si>
    <t>Hanumannagar</t>
  </si>
  <si>
    <t>119.094596377066</t>
  </si>
  <si>
    <t>01191</t>
  </si>
  <si>
    <t>Hayaghat</t>
  </si>
  <si>
    <t>73.377028125250263</t>
  </si>
  <si>
    <t>01192</t>
  </si>
  <si>
    <t>193.81486776566362</t>
  </si>
  <si>
    <t>01193</t>
  </si>
  <si>
    <t>Biraul</t>
  </si>
  <si>
    <t>180.71351621822626</t>
  </si>
  <si>
    <t>01194</t>
  </si>
  <si>
    <t>Ghanshyampur</t>
  </si>
  <si>
    <t>91.491893261237664</t>
  </si>
  <si>
    <t>01195</t>
  </si>
  <si>
    <t>Kiratpur</t>
  </si>
  <si>
    <t>52.755406194987856</t>
  </si>
  <si>
    <t>1543</t>
  </si>
  <si>
    <t>01196</t>
  </si>
  <si>
    <t>Gora Bauram</t>
  </si>
  <si>
    <t>104.49865021266466</t>
  </si>
  <si>
    <t>01197</t>
  </si>
  <si>
    <t>Kusheshwar Asthan</t>
  </si>
  <si>
    <t>104.47027183386155</t>
  </si>
  <si>
    <t>01198</t>
  </si>
  <si>
    <t>Kusheshwar Asthan Purbi</t>
  </si>
  <si>
    <t>103.42027181814635</t>
  </si>
  <si>
    <t>01199</t>
  </si>
  <si>
    <t>Sahebganj</t>
  </si>
  <si>
    <t>198.34470761861317</t>
  </si>
  <si>
    <t>01200</t>
  </si>
  <si>
    <t>Baruraj (Motipur)</t>
  </si>
  <si>
    <t>313.97840749765726</t>
  </si>
  <si>
    <t>01201</t>
  </si>
  <si>
    <t>Paroo</t>
  </si>
  <si>
    <t>323.23532314014818</t>
  </si>
  <si>
    <t>1119</t>
  </si>
  <si>
    <t>01202</t>
  </si>
  <si>
    <t>Saraiya</t>
  </si>
  <si>
    <t>248.7031580007195</t>
  </si>
  <si>
    <t>1334</t>
  </si>
  <si>
    <t>01203</t>
  </si>
  <si>
    <t>Marwan</t>
  </si>
  <si>
    <t>109.53844075498512</t>
  </si>
  <si>
    <t>01204</t>
  </si>
  <si>
    <t>Kanti</t>
  </si>
  <si>
    <t>177.19789024942895</t>
  </si>
  <si>
    <t>01205</t>
  </si>
  <si>
    <t>Minapur</t>
  </si>
  <si>
    <t>237.43522149076693</t>
  </si>
  <si>
    <t>01206</t>
  </si>
  <si>
    <t>Bochaha</t>
  </si>
  <si>
    <t>180.78455633263371</t>
  </si>
  <si>
    <t>1359</t>
  </si>
  <si>
    <t>01207</t>
  </si>
  <si>
    <t>198.8630119658971</t>
  </si>
  <si>
    <t>01208</t>
  </si>
  <si>
    <t>Katra</t>
  </si>
  <si>
    <t>175.39419112088086</t>
  </si>
  <si>
    <t>01209</t>
  </si>
  <si>
    <t>Gaighat</t>
  </si>
  <si>
    <t>214.46397281914327</t>
  </si>
  <si>
    <t>01210</t>
  </si>
  <si>
    <t>Bandra</t>
  </si>
  <si>
    <t>108.89574336435305</t>
  </si>
  <si>
    <t>01211</t>
  </si>
  <si>
    <t>Dholi (Moraul)</t>
  </si>
  <si>
    <t>63.191666020856374</t>
  </si>
  <si>
    <t>01212</t>
  </si>
  <si>
    <t>Musahri</t>
  </si>
  <si>
    <t>183.88401632939159</t>
  </si>
  <si>
    <t>01213</t>
  </si>
  <si>
    <t>Kurhani</t>
  </si>
  <si>
    <t>260.73818494465229</t>
  </si>
  <si>
    <t>01214</t>
  </si>
  <si>
    <t>Sakra</t>
  </si>
  <si>
    <t>177.35338155361413</t>
  </si>
  <si>
    <t>01215</t>
  </si>
  <si>
    <t>Katiya</t>
  </si>
  <si>
    <t>145.18437160337049</t>
  </si>
  <si>
    <t>901</t>
  </si>
  <si>
    <t>01216</t>
  </si>
  <si>
    <t>Bijaipur</t>
  </si>
  <si>
    <t>128.52030670842313</t>
  </si>
  <si>
    <t>01217</t>
  </si>
  <si>
    <t>Bhorey</t>
  </si>
  <si>
    <t>150.19394142272111</t>
  </si>
  <si>
    <t>01218</t>
  </si>
  <si>
    <t>Pach Deuri</t>
  </si>
  <si>
    <t>80.14276675874369</t>
  </si>
  <si>
    <t>01219</t>
  </si>
  <si>
    <t>Kuchaikote</t>
  </si>
  <si>
    <t>247.41478711106919</t>
  </si>
  <si>
    <t>01220</t>
  </si>
  <si>
    <t>Phulwaria</t>
  </si>
  <si>
    <t>95.440585339322666</t>
  </si>
  <si>
    <t>01221</t>
  </si>
  <si>
    <t>Hathua</t>
  </si>
  <si>
    <t>144.48054774445345</t>
  </si>
  <si>
    <t>01222</t>
  </si>
  <si>
    <t>Uchkagaon</t>
  </si>
  <si>
    <t>116.76230812416213</t>
  </si>
  <si>
    <t>01223</t>
  </si>
  <si>
    <t>Thawe</t>
  </si>
  <si>
    <t>75.081445185060915</t>
  </si>
  <si>
    <t>1546</t>
  </si>
  <si>
    <t>01224</t>
  </si>
  <si>
    <t>Gopalganj</t>
  </si>
  <si>
    <t>202.08025031611928</t>
  </si>
  <si>
    <t>01225</t>
  </si>
  <si>
    <t>Manjha</t>
  </si>
  <si>
    <t>141.99646353651099</t>
  </si>
  <si>
    <t>01226</t>
  </si>
  <si>
    <t>Barauli</t>
  </si>
  <si>
    <t>189.27686629434916</t>
  </si>
  <si>
    <t>01227</t>
  </si>
  <si>
    <t>Sidhwalia</t>
  </si>
  <si>
    <t>112.42551111112925</t>
  </si>
  <si>
    <t>01228</t>
  </si>
  <si>
    <t>Baikunthpur</t>
  </si>
  <si>
    <t>203.99506522640826</t>
  </si>
  <si>
    <t>01229</t>
  </si>
  <si>
    <t>59.271972526560418</t>
  </si>
  <si>
    <t>01230</t>
  </si>
  <si>
    <t>Siwan</t>
  </si>
  <si>
    <t>130.43572857211711</t>
  </si>
  <si>
    <t>01231</t>
  </si>
  <si>
    <t>Barharia</t>
  </si>
  <si>
    <t>179.49842319546937</t>
  </si>
  <si>
    <t>01232</t>
  </si>
  <si>
    <t>Goriakothi</t>
  </si>
  <si>
    <t>143.31416661889037</t>
  </si>
  <si>
    <t>01233</t>
  </si>
  <si>
    <t>Lakri Nabiganj</t>
  </si>
  <si>
    <t>93.275203304895584</t>
  </si>
  <si>
    <t>1382</t>
  </si>
  <si>
    <t>01234</t>
  </si>
  <si>
    <t>52.04342988095221</t>
  </si>
  <si>
    <t>01235</t>
  </si>
  <si>
    <t>Bhagwanpur Hat</t>
  </si>
  <si>
    <t>158.29054376683149</t>
  </si>
  <si>
    <t>01236</t>
  </si>
  <si>
    <t>111.37771743031959</t>
  </si>
  <si>
    <t>01237</t>
  </si>
  <si>
    <t>Pachrukhi</t>
  </si>
  <si>
    <t>128.53512037650461</t>
  </si>
  <si>
    <t>01238</t>
  </si>
  <si>
    <t>Hussainganj</t>
  </si>
  <si>
    <t>82.868594496132047</t>
  </si>
  <si>
    <t>01239</t>
  </si>
  <si>
    <t>Ziradei</t>
  </si>
  <si>
    <t>100.20255667360345</t>
  </si>
  <si>
    <t>01240</t>
  </si>
  <si>
    <t>Mairwa</t>
  </si>
  <si>
    <t>125.94904693001544</t>
  </si>
  <si>
    <t>01241</t>
  </si>
  <si>
    <t>Guthani</t>
  </si>
  <si>
    <t>65.773506572754002</t>
  </si>
  <si>
    <t>01242</t>
  </si>
  <si>
    <t>Darauli</t>
  </si>
  <si>
    <t>94.428031226824487</t>
  </si>
  <si>
    <t>01243</t>
  </si>
  <si>
    <t>Andar</t>
  </si>
  <si>
    <t>179.8619274951767</t>
  </si>
  <si>
    <t>01244</t>
  </si>
  <si>
    <t>Raghunathpur</t>
  </si>
  <si>
    <t>99.652107305475241</t>
  </si>
  <si>
    <t>01245</t>
  </si>
  <si>
    <t>Hasanpura</t>
  </si>
  <si>
    <t>156.77421154519527</t>
  </si>
  <si>
    <t>01246</t>
  </si>
  <si>
    <t>Daraundha</t>
  </si>
  <si>
    <t>133.03218785574074</t>
  </si>
  <si>
    <t>01247</t>
  </si>
  <si>
    <t>Siswan</t>
  </si>
  <si>
    <t>124.42232887124474</t>
  </si>
  <si>
    <t>01248</t>
  </si>
  <si>
    <t>Mashrakh</t>
  </si>
  <si>
    <t>123.31199077664557</t>
  </si>
  <si>
    <t>01249</t>
  </si>
  <si>
    <t>Panapur</t>
  </si>
  <si>
    <t>108.23185061835535</t>
  </si>
  <si>
    <t>01250</t>
  </si>
  <si>
    <t>Taraiya</t>
  </si>
  <si>
    <t>108.5913907447451</t>
  </si>
  <si>
    <t>01251</t>
  </si>
  <si>
    <t>Ishupur</t>
  </si>
  <si>
    <t>101.54440426750594</t>
  </si>
  <si>
    <t>01252</t>
  </si>
  <si>
    <t>Baniapur</t>
  </si>
  <si>
    <t>158.96809873946935</t>
  </si>
  <si>
    <t>01253</t>
  </si>
  <si>
    <t>Lahladpur</t>
  </si>
  <si>
    <t>52.811308279134856</t>
  </si>
  <si>
    <t>01254</t>
  </si>
  <si>
    <t>Ekma</t>
  </si>
  <si>
    <t>149.50705712789897</t>
  </si>
  <si>
    <t>01255</t>
  </si>
  <si>
    <t>Manjhi</t>
  </si>
  <si>
    <t>187.52585734985544</t>
  </si>
  <si>
    <t>01256</t>
  </si>
  <si>
    <t>Jalalpur</t>
  </si>
  <si>
    <t>124.08243390462361</t>
  </si>
  <si>
    <t>01257</t>
  </si>
  <si>
    <t>Revelganj</t>
  </si>
  <si>
    <t>125.13023655867374</t>
  </si>
  <si>
    <t>01258</t>
  </si>
  <si>
    <t>Chapra</t>
  </si>
  <si>
    <t>185.29670856623898</t>
  </si>
  <si>
    <t>01259</t>
  </si>
  <si>
    <t>Nagra</t>
  </si>
  <si>
    <t>55.338361738902833</t>
  </si>
  <si>
    <t>01260</t>
  </si>
  <si>
    <t>Marhaura</t>
  </si>
  <si>
    <t>149.86659725428873</t>
  </si>
  <si>
    <t>01261</t>
  </si>
  <si>
    <t>Amnour</t>
  </si>
  <si>
    <t>129.85562107693906</t>
  </si>
  <si>
    <t>01262</t>
  </si>
  <si>
    <t>Maker</t>
  </si>
  <si>
    <t>79.201553556142727</t>
  </si>
  <si>
    <t>01263</t>
  </si>
  <si>
    <t>Parsa</t>
  </si>
  <si>
    <t>103.46537579993119</t>
  </si>
  <si>
    <t>01264</t>
  </si>
  <si>
    <t>Dariapur</t>
  </si>
  <si>
    <t>213.69010597598975</t>
  </si>
  <si>
    <t>01265</t>
  </si>
  <si>
    <t>Garkha</t>
  </si>
  <si>
    <t>169.857028281559</t>
  </si>
  <si>
    <t>01266</t>
  </si>
  <si>
    <t>Dighwara</t>
  </si>
  <si>
    <t>99.294710333810059</t>
  </si>
  <si>
    <t>01267</t>
  </si>
  <si>
    <t>Sonepur</t>
  </si>
  <si>
    <t>215.43644373273997</t>
  </si>
  <si>
    <t>01268</t>
  </si>
  <si>
    <t>Vaishali</t>
  </si>
  <si>
    <t>151.71098457627613</t>
  </si>
  <si>
    <t>01269</t>
  </si>
  <si>
    <t>Paterhi Belsar</t>
  </si>
  <si>
    <t>76.39264469093564</t>
  </si>
  <si>
    <t>01270</t>
  </si>
  <si>
    <t>137.2025513601196</t>
  </si>
  <si>
    <t>01271</t>
  </si>
  <si>
    <t>Bhagwanpur</t>
  </si>
  <si>
    <t>116.93967359122063</t>
  </si>
  <si>
    <t>01272</t>
  </si>
  <si>
    <t>Goraul</t>
  </si>
  <si>
    <t>103.51618186190278</t>
  </si>
  <si>
    <t>01273</t>
  </si>
  <si>
    <t>Chehra Kalan</t>
  </si>
  <si>
    <t>69.531985288867503</t>
  </si>
  <si>
    <t>01274</t>
  </si>
  <si>
    <t>Patepur</t>
  </si>
  <si>
    <t>262.08782584024709</t>
  </si>
  <si>
    <t>01275</t>
  </si>
  <si>
    <t>Mahua</t>
  </si>
  <si>
    <t>136.16015659825499</t>
  </si>
  <si>
    <t>01276</t>
  </si>
  <si>
    <t>Jandaha</t>
  </si>
  <si>
    <t>142.60598543182599</t>
  </si>
  <si>
    <t>01277</t>
  </si>
  <si>
    <t>Raja Pakar</t>
  </si>
  <si>
    <t>80.232486619845119</t>
  </si>
  <si>
    <t>01278</t>
  </si>
  <si>
    <t>Hajipur</t>
  </si>
  <si>
    <t>166.68743176714742</t>
  </si>
  <si>
    <t>01279</t>
  </si>
  <si>
    <t>236.921438018087</t>
  </si>
  <si>
    <t>01280</t>
  </si>
  <si>
    <t>Bidupur</t>
  </si>
  <si>
    <t>111.30223253215688</t>
  </si>
  <si>
    <t>01281</t>
  </si>
  <si>
    <t>Desri</t>
  </si>
  <si>
    <t>59.427138107526801</t>
  </si>
  <si>
    <t>01282</t>
  </si>
  <si>
    <t>Sahdai Buzurg</t>
  </si>
  <si>
    <t>88.943928558285151</t>
  </si>
  <si>
    <t>01283</t>
  </si>
  <si>
    <t>Mahnar</t>
  </si>
  <si>
    <t>96.336422022529121</t>
  </si>
  <si>
    <t>01284</t>
  </si>
  <si>
    <t>246.32610018029206</t>
  </si>
  <si>
    <t>01285</t>
  </si>
  <si>
    <t>Warisnagar</t>
  </si>
  <si>
    <t>135.87932970920505</t>
  </si>
  <si>
    <t>01286</t>
  </si>
  <si>
    <t>Shivaji Nagar</t>
  </si>
  <si>
    <t>135.67766183859442</t>
  </si>
  <si>
    <t>01287</t>
  </si>
  <si>
    <t>142.79205616291378</t>
  </si>
  <si>
    <t>01288</t>
  </si>
  <si>
    <t>Samastipur</t>
  </si>
  <si>
    <t>175.77595677834086</t>
  </si>
  <si>
    <t>01289</t>
  </si>
  <si>
    <t>Pusa</t>
  </si>
  <si>
    <t>84.521245327031892</t>
  </si>
  <si>
    <t>01290</t>
  </si>
  <si>
    <t>Tajpur</t>
  </si>
  <si>
    <t>55.14495884141715</t>
  </si>
  <si>
    <t>01291</t>
  </si>
  <si>
    <t>Morwa</t>
  </si>
  <si>
    <t>144.68549339253576</t>
  </si>
  <si>
    <t>01292</t>
  </si>
  <si>
    <t>Patori</t>
  </si>
  <si>
    <t>120.53016400161839</t>
  </si>
  <si>
    <t>01293</t>
  </si>
  <si>
    <t>Mohanpur</t>
  </si>
  <si>
    <t>136.04738626804723</t>
  </si>
  <si>
    <t>01294</t>
  </si>
  <si>
    <t>Mohiuddinagar</t>
  </si>
  <si>
    <t>155.54194709374124</t>
  </si>
  <si>
    <t>01295</t>
  </si>
  <si>
    <t>Sarairanjan</t>
  </si>
  <si>
    <t>171.75380313671781</t>
  </si>
  <si>
    <t>01296</t>
  </si>
  <si>
    <t>Vidyapati Nagar</t>
  </si>
  <si>
    <t>91.467583092509074</t>
  </si>
  <si>
    <t>01297</t>
  </si>
  <si>
    <t>Dalsinghsarai</t>
  </si>
  <si>
    <t>109.95380456514992</t>
  </si>
  <si>
    <t>01298</t>
  </si>
  <si>
    <t>Ujiarpur</t>
  </si>
  <si>
    <t>179.29394074343736</t>
  </si>
  <si>
    <t>01299</t>
  </si>
  <si>
    <t>Bibhutpur</t>
  </si>
  <si>
    <t>231.33545513156872</t>
  </si>
  <si>
    <t>01300</t>
  </si>
  <si>
    <t>Rosera</t>
  </si>
  <si>
    <t>123.64481222549364</t>
  </si>
  <si>
    <t>01301</t>
  </si>
  <si>
    <t>Singhia</t>
  </si>
  <si>
    <t>156.49426759384698</t>
  </si>
  <si>
    <t>01302</t>
  </si>
  <si>
    <t>174.29705906052959</t>
  </si>
  <si>
    <t>01303</t>
  </si>
  <si>
    <t>Bithan</t>
  </si>
  <si>
    <t>132.84310787945614</t>
  </si>
  <si>
    <t>01304</t>
  </si>
  <si>
    <t>Khudabandpur</t>
  </si>
  <si>
    <t>45.998812115262346</t>
  </si>
  <si>
    <t>01305</t>
  </si>
  <si>
    <t>Chhorahi</t>
  </si>
  <si>
    <t>112.64194882538699</t>
  </si>
  <si>
    <t>01306</t>
  </si>
  <si>
    <t>Garhpura</t>
  </si>
  <si>
    <t>71.600660489519939</t>
  </si>
  <si>
    <t>01307</t>
  </si>
  <si>
    <t>Cheria Bariarpur</t>
  </si>
  <si>
    <t>97.542630037831685</t>
  </si>
  <si>
    <t>1504</t>
  </si>
  <si>
    <t>01308</t>
  </si>
  <si>
    <t>122.01074116524212</t>
  </si>
  <si>
    <t>01309</t>
  </si>
  <si>
    <t>Mansurchak</t>
  </si>
  <si>
    <t>25.859515930359223</t>
  </si>
  <si>
    <t>01310</t>
  </si>
  <si>
    <t>Bachhwara</t>
  </si>
  <si>
    <t>156.13623229534153</t>
  </si>
  <si>
    <t>01311</t>
  </si>
  <si>
    <t>Teghra</t>
  </si>
  <si>
    <t>151.38484256082754</t>
  </si>
  <si>
    <t>1703</t>
  </si>
  <si>
    <t>01312</t>
  </si>
  <si>
    <t>Barauni</t>
  </si>
  <si>
    <t>97.109748543580949</t>
  </si>
  <si>
    <t>01313</t>
  </si>
  <si>
    <t>Birpur</t>
  </si>
  <si>
    <t>56.707475746845937</t>
  </si>
  <si>
    <t>01314</t>
  </si>
  <si>
    <t>Begusarai</t>
  </si>
  <si>
    <t>223.63482529172356</t>
  </si>
  <si>
    <t>01315</t>
  </si>
  <si>
    <t>Naokothi</t>
  </si>
  <si>
    <t>73.301266359790674</t>
  </si>
  <si>
    <t>01316</t>
  </si>
  <si>
    <t>Bakhri</t>
  </si>
  <si>
    <t>72.651944118414576</t>
  </si>
  <si>
    <t>01317</t>
  </si>
  <si>
    <t>Dandari</t>
  </si>
  <si>
    <t>64.468422536626917</t>
  </si>
  <si>
    <t>1198</t>
  </si>
  <si>
    <t>01318</t>
  </si>
  <si>
    <t>Sahebpur Kamal</t>
  </si>
  <si>
    <t>149.5090227524077</t>
  </si>
  <si>
    <t>01319</t>
  </si>
  <si>
    <t>Balia</t>
  </si>
  <si>
    <t>145.96351718044932</t>
  </si>
  <si>
    <t>01320</t>
  </si>
  <si>
    <t>Matihani</t>
  </si>
  <si>
    <t>183.10887206805978</t>
  </si>
  <si>
    <t>01321</t>
  </si>
  <si>
    <t>Shamho Akha Kurha</t>
  </si>
  <si>
    <t>68.374662687127582</t>
  </si>
  <si>
    <t>450</t>
  </si>
  <si>
    <t>01322</t>
  </si>
  <si>
    <t>Alauli</t>
  </si>
  <si>
    <t>272.98955394811594</t>
  </si>
  <si>
    <t>01323</t>
  </si>
  <si>
    <t>Khagaria</t>
  </si>
  <si>
    <t>269.77219184117854</t>
  </si>
  <si>
    <t>01324</t>
  </si>
  <si>
    <t>Mansi</t>
  </si>
  <si>
    <t>66.343868783889178</t>
  </si>
  <si>
    <t>01325</t>
  </si>
  <si>
    <t>Chautham</t>
  </si>
  <si>
    <t>161.18880703598586</t>
  </si>
  <si>
    <t>01326</t>
  </si>
  <si>
    <t>Beldaur</t>
  </si>
  <si>
    <t>219.43237186575291</t>
  </si>
  <si>
    <t>01327</t>
  </si>
  <si>
    <t>Gogri</t>
  </si>
  <si>
    <t>264.4754413628765</t>
  </si>
  <si>
    <t>01328</t>
  </si>
  <si>
    <t>Parbatta</t>
  </si>
  <si>
    <t>231.81559515193962</t>
  </si>
  <si>
    <t>01329</t>
  </si>
  <si>
    <t>Narayanpur</t>
  </si>
  <si>
    <t>156.71321455475342</t>
  </si>
  <si>
    <t>01330</t>
  </si>
  <si>
    <t>Bihpur</t>
  </si>
  <si>
    <t>149.4492633665746</t>
  </si>
  <si>
    <t>01331</t>
  </si>
  <si>
    <t>Kharik</t>
  </si>
  <si>
    <t>125.57751586470339</t>
  </si>
  <si>
    <t>01332</t>
  </si>
  <si>
    <t>Naugachhia</t>
  </si>
  <si>
    <t>112.68008310756281</t>
  </si>
  <si>
    <t>01333</t>
  </si>
  <si>
    <t>Rangra Chowk</t>
  </si>
  <si>
    <t>106.02233216242622</t>
  </si>
  <si>
    <t>01334</t>
  </si>
  <si>
    <t>Gopalpur</t>
  </si>
  <si>
    <t>142.80196414976629</t>
  </si>
  <si>
    <t>01335</t>
  </si>
  <si>
    <t>Pirpainti</t>
  </si>
  <si>
    <t>335.4900276105796</t>
  </si>
  <si>
    <t>01336</t>
  </si>
  <si>
    <t>Colgong</t>
  </si>
  <si>
    <t>296.79772933915791</t>
  </si>
  <si>
    <t>01337</t>
  </si>
  <si>
    <t>Ismailpur</t>
  </si>
  <si>
    <t>83.645181811504045</t>
  </si>
  <si>
    <t>01338</t>
  </si>
  <si>
    <t>Sabour</t>
  </si>
  <si>
    <t>138.40178652354572</t>
  </si>
  <si>
    <t>1032</t>
  </si>
  <si>
    <t>01339</t>
  </si>
  <si>
    <t>Nathnagar</t>
  </si>
  <si>
    <t>147.0767210360471</t>
  </si>
  <si>
    <t>01340</t>
  </si>
  <si>
    <t>Sultanganj</t>
  </si>
  <si>
    <t>228.04626039550254</t>
  </si>
  <si>
    <t>01341</t>
  </si>
  <si>
    <t>Shahkund</t>
  </si>
  <si>
    <t>165.52402153552288</t>
  </si>
  <si>
    <t>01342</t>
  </si>
  <si>
    <t>Goradih</t>
  </si>
  <si>
    <t>111.95891385290908</t>
  </si>
  <si>
    <t>01343</t>
  </si>
  <si>
    <t>Jagdishpur</t>
  </si>
  <si>
    <t>100.3888505934645</t>
  </si>
  <si>
    <t>01344</t>
  </si>
  <si>
    <t>Sonhaula</t>
  </si>
  <si>
    <t>168.42960201079441</t>
  </si>
  <si>
    <t>01345</t>
  </si>
  <si>
    <t>Shambhuganj</t>
  </si>
  <si>
    <t>176.41259530715948</t>
  </si>
  <si>
    <t>01346</t>
  </si>
  <si>
    <t>Amarpur</t>
  </si>
  <si>
    <t>169.08711046737551</t>
  </si>
  <si>
    <t>01347</t>
  </si>
  <si>
    <t>Rajaun</t>
  </si>
  <si>
    <t>200.44060003623869</t>
  </si>
  <si>
    <t>01348</t>
  </si>
  <si>
    <t>Dhuraiya</t>
  </si>
  <si>
    <t>237.01621741168054</t>
  </si>
  <si>
    <t>1012</t>
  </si>
  <si>
    <t>01349</t>
  </si>
  <si>
    <t>Barahat</t>
  </si>
  <si>
    <t>155.58625226901836</t>
  </si>
  <si>
    <t>01350</t>
  </si>
  <si>
    <t>Banka</t>
  </si>
  <si>
    <t>305.97109946084925</t>
  </si>
  <si>
    <t>710</t>
  </si>
  <si>
    <t>01351</t>
  </si>
  <si>
    <t>Phulidumar</t>
  </si>
  <si>
    <t>213.77567639946636</t>
  </si>
  <si>
    <t>01352</t>
  </si>
  <si>
    <t>Belhar</t>
  </si>
  <si>
    <t>227.79460283260315</t>
  </si>
  <si>
    <t>01353</t>
  </si>
  <si>
    <t>Chanan</t>
  </si>
  <si>
    <t>473.45219840040795</t>
  </si>
  <si>
    <t>01354</t>
  </si>
  <si>
    <t>Katoria</t>
  </si>
  <si>
    <t>547.40125823285223</t>
  </si>
  <si>
    <t>01355</t>
  </si>
  <si>
    <t>Bausi</t>
  </si>
  <si>
    <t>313.05827291263461</t>
  </si>
  <si>
    <t>591</t>
  </si>
  <si>
    <t>01356</t>
  </si>
  <si>
    <t>Munger</t>
  </si>
  <si>
    <t>258.53323319473424</t>
  </si>
  <si>
    <t>01357</t>
  </si>
  <si>
    <t>Bariarpur</t>
  </si>
  <si>
    <t>159.65645462276544</t>
  </si>
  <si>
    <t>01358</t>
  </si>
  <si>
    <t>Jamalpur</t>
  </si>
  <si>
    <t>89.736820404660392</t>
  </si>
  <si>
    <t>01359</t>
  </si>
  <si>
    <t>Dharhara</t>
  </si>
  <si>
    <t>287.91913988825428</t>
  </si>
  <si>
    <t>458</t>
  </si>
  <si>
    <t>01360</t>
  </si>
  <si>
    <t>Kharagpur</t>
  </si>
  <si>
    <t>336.86079231731975</t>
  </si>
  <si>
    <t>630</t>
  </si>
  <si>
    <t>01361</t>
  </si>
  <si>
    <t>Asarganj</t>
  </si>
  <si>
    <t>59.880320899322385</t>
  </si>
  <si>
    <t>01362</t>
  </si>
  <si>
    <t>Tarapur</t>
  </si>
  <si>
    <t>70.118328960872617</t>
  </si>
  <si>
    <t>01363</t>
  </si>
  <si>
    <t>Tetiha Bambor</t>
  </si>
  <si>
    <t>68.52877101873203</t>
  </si>
  <si>
    <t>01364</t>
  </si>
  <si>
    <t>87.770788213065472</t>
  </si>
  <si>
    <t>01365</t>
  </si>
  <si>
    <t>Barahiya</t>
  </si>
  <si>
    <t>220.79905357597437</t>
  </si>
  <si>
    <t>01366</t>
  </si>
  <si>
    <t>Pipariya</t>
  </si>
  <si>
    <t>69.398182777631007</t>
  </si>
  <si>
    <t>01367</t>
  </si>
  <si>
    <t>Surajgarha</t>
  </si>
  <si>
    <t>380.59943244395845</t>
  </si>
  <si>
    <t>765</t>
  </si>
  <si>
    <t>01368</t>
  </si>
  <si>
    <t>Lakhisarai</t>
  </si>
  <si>
    <t>140.93556611232407</t>
  </si>
  <si>
    <t>1569</t>
  </si>
  <si>
    <t>01369</t>
  </si>
  <si>
    <t>Chanan*</t>
  </si>
  <si>
    <t>151.01287854044483</t>
  </si>
  <si>
    <t>01370</t>
  </si>
  <si>
    <t>Ramgarh Chowk</t>
  </si>
  <si>
    <t>123.03549086279004</t>
  </si>
  <si>
    <t>01371</t>
  </si>
  <si>
    <t>Halsi</t>
  </si>
  <si>
    <t>142.2358644901461</t>
  </si>
  <si>
    <t>01372</t>
  </si>
  <si>
    <t>Barbigha</t>
  </si>
  <si>
    <t>99.880609986350692</t>
  </si>
  <si>
    <t>01373</t>
  </si>
  <si>
    <t>Shekhopur Sarai</t>
  </si>
  <si>
    <t>59.833375246335443</t>
  </si>
  <si>
    <t>1128</t>
  </si>
  <si>
    <t>01374</t>
  </si>
  <si>
    <t>Sheikhpura</t>
  </si>
  <si>
    <t>181.23802460508247</t>
  </si>
  <si>
    <t>01375</t>
  </si>
  <si>
    <t>Ghat Kusumbha</t>
  </si>
  <si>
    <t>80.277974329243506</t>
  </si>
  <si>
    <t>01376</t>
  </si>
  <si>
    <t>Chewara</t>
  </si>
  <si>
    <t>121.60974301374979</t>
  </si>
  <si>
    <t>01377</t>
  </si>
  <si>
    <t>Ariari</t>
  </si>
  <si>
    <t>146.15621519671333</t>
  </si>
  <si>
    <t>01378</t>
  </si>
  <si>
    <t>Karai Parsurai</t>
  </si>
  <si>
    <t>76.720985470667316</t>
  </si>
  <si>
    <t>01379</t>
  </si>
  <si>
    <t>Nagar Nausa</t>
  </si>
  <si>
    <t>82.669469470008323</t>
  </si>
  <si>
    <t>01380</t>
  </si>
  <si>
    <t>Harnaut</t>
  </si>
  <si>
    <t>181.44941643823188</t>
  </si>
  <si>
    <t>01381</t>
  </si>
  <si>
    <t>Chandi</t>
  </si>
  <si>
    <t>123.42071575716047</t>
  </si>
  <si>
    <t>1233</t>
  </si>
  <si>
    <t>01382</t>
  </si>
  <si>
    <t>Rahui</t>
  </si>
  <si>
    <t>126.09546811103081</t>
  </si>
  <si>
    <t>01383</t>
  </si>
  <si>
    <t>Bind</t>
  </si>
  <si>
    <t>73.478235512693232</t>
  </si>
  <si>
    <t>01384</t>
  </si>
  <si>
    <t>Sarmera</t>
  </si>
  <si>
    <t>135.68946400580128</t>
  </si>
  <si>
    <t>01385</t>
  </si>
  <si>
    <t>Asthawan</t>
  </si>
  <si>
    <t>133.98547119349007</t>
  </si>
  <si>
    <t>01386</t>
  </si>
  <si>
    <t>Bihar</t>
  </si>
  <si>
    <t>171.23578679353005</t>
  </si>
  <si>
    <t>01387</t>
  </si>
  <si>
    <t>Noorsarai</t>
  </si>
  <si>
    <t>127.778806465011</t>
  </si>
  <si>
    <t>01388</t>
  </si>
  <si>
    <t>Tharthari</t>
  </si>
  <si>
    <t>47.133473911445094</t>
  </si>
  <si>
    <t>01389</t>
  </si>
  <si>
    <t>Parbalpur</t>
  </si>
  <si>
    <t>63.047734055515406</t>
  </si>
  <si>
    <t>1115</t>
  </si>
  <si>
    <t>01390</t>
  </si>
  <si>
    <t>Hilsa</t>
  </si>
  <si>
    <t>140.06820917198286</t>
  </si>
  <si>
    <t>01391</t>
  </si>
  <si>
    <t>Ekangarsarai</t>
  </si>
  <si>
    <t>134.13005240180738</t>
  </si>
  <si>
    <t>01392</t>
  </si>
  <si>
    <t>Islampur</t>
  </si>
  <si>
    <t>221.76691910043209</t>
  </si>
  <si>
    <t>01393</t>
  </si>
  <si>
    <t>Ben</t>
  </si>
  <si>
    <t>90.094747240019061</t>
  </si>
  <si>
    <t>01394</t>
  </si>
  <si>
    <t>Rajgir</t>
  </si>
  <si>
    <t>195.47379364501157</t>
  </si>
  <si>
    <t>01395</t>
  </si>
  <si>
    <t>Silao</t>
  </si>
  <si>
    <t>107.86790863388345</t>
  </si>
  <si>
    <t>01396</t>
  </si>
  <si>
    <t>Giriak</t>
  </si>
  <si>
    <t>80.36649736609678</t>
  </si>
  <si>
    <t>01397</t>
  </si>
  <si>
    <t>Katrisarai</t>
  </si>
  <si>
    <t>42.548184161953067</t>
  </si>
  <si>
    <t>01398</t>
  </si>
  <si>
    <t>Maner</t>
  </si>
  <si>
    <t>173.21820372090755</t>
  </si>
  <si>
    <t>1553</t>
  </si>
  <si>
    <t>01399</t>
  </si>
  <si>
    <t>Dinapur-Cum-Khagaul</t>
  </si>
  <si>
    <t>106.59340818485505</t>
  </si>
  <si>
    <t>01400</t>
  </si>
  <si>
    <t>Patna Rural</t>
  </si>
  <si>
    <t>145.15246944714028</t>
  </si>
  <si>
    <t>01401</t>
  </si>
  <si>
    <t>Sampatchak</t>
  </si>
  <si>
    <t>68.149199257767549</t>
  </si>
  <si>
    <t>01402</t>
  </si>
  <si>
    <t>Phulwari</t>
  </si>
  <si>
    <t>115.54144920889469</t>
  </si>
  <si>
    <t>01403</t>
  </si>
  <si>
    <t>Bihta</t>
  </si>
  <si>
    <t>202.12966882658526</t>
  </si>
  <si>
    <t>01404</t>
  </si>
  <si>
    <t>Naubatpur</t>
  </si>
  <si>
    <t>165.51265614127951</t>
  </si>
  <si>
    <t>01405</t>
  </si>
  <si>
    <t>Bikram</t>
  </si>
  <si>
    <t>148.91127314451981</t>
  </si>
  <si>
    <t>01406</t>
  </si>
  <si>
    <t>Dulhin Bazar</t>
  </si>
  <si>
    <t>113.54719502500721</t>
  </si>
  <si>
    <t>01407</t>
  </si>
  <si>
    <t>Paliganj</t>
  </si>
  <si>
    <t>242.44283848098092</t>
  </si>
  <si>
    <t>01408</t>
  </si>
  <si>
    <t>Masaurhi</t>
  </si>
  <si>
    <t>200.25026697789548</t>
  </si>
  <si>
    <t>01409</t>
  </si>
  <si>
    <t>Dhanarua</t>
  </si>
  <si>
    <t>191.97045772227887</t>
  </si>
  <si>
    <t>01410</t>
  </si>
  <si>
    <t>Punpun</t>
  </si>
  <si>
    <t>124.24934444115732</t>
  </si>
  <si>
    <t>01411</t>
  </si>
  <si>
    <t>Fatwah</t>
  </si>
  <si>
    <t>136.22531066586382</t>
  </si>
  <si>
    <t>01412</t>
  </si>
  <si>
    <t>Daniawan</t>
  </si>
  <si>
    <t>66.332444137367432</t>
  </si>
  <si>
    <t>01413</t>
  </si>
  <si>
    <t>Khusrupur</t>
  </si>
  <si>
    <t>55.369266686677079</t>
  </si>
  <si>
    <t>01414</t>
  </si>
  <si>
    <t>Bakhtiarpur</t>
  </si>
  <si>
    <t>161.4197365596884</t>
  </si>
  <si>
    <t>01415</t>
  </si>
  <si>
    <t>Athmalgola</t>
  </si>
  <si>
    <t>55.045591923847176</t>
  </si>
  <si>
    <t>01416</t>
  </si>
  <si>
    <t>Belchhi</t>
  </si>
  <si>
    <t>62.865991838672961</t>
  </si>
  <si>
    <t>01417</t>
  </si>
  <si>
    <t>Barh</t>
  </si>
  <si>
    <t>121.56597624608359</t>
  </si>
  <si>
    <t>01418</t>
  </si>
  <si>
    <t>Pandarak</t>
  </si>
  <si>
    <t>211.82947059010081</t>
  </si>
  <si>
    <t>01419</t>
  </si>
  <si>
    <t>Ghoswari</t>
  </si>
  <si>
    <t>125.49183788556888</t>
  </si>
  <si>
    <t>597</t>
  </si>
  <si>
    <t>01420</t>
  </si>
  <si>
    <t>Mokameh</t>
  </si>
  <si>
    <t>208.19596034930061</t>
  </si>
  <si>
    <t>01421</t>
  </si>
  <si>
    <t>188.8918903070448</t>
  </si>
  <si>
    <t>01422</t>
  </si>
  <si>
    <t>Arrah</t>
  </si>
  <si>
    <t>191.20224213781788</t>
  </si>
  <si>
    <t>01423</t>
  </si>
  <si>
    <t>229.37461769893903</t>
  </si>
  <si>
    <t>01424</t>
  </si>
  <si>
    <t>Koilwar</t>
  </si>
  <si>
    <t>171.25482945605395</t>
  </si>
  <si>
    <t>01425</t>
  </si>
  <si>
    <t>Sandesh</t>
  </si>
  <si>
    <t>133.46407450983727</t>
  </si>
  <si>
    <t>01426</t>
  </si>
  <si>
    <t>Udwant Nagar</t>
  </si>
  <si>
    <t>168.5525429397033</t>
  </si>
  <si>
    <t>01427</t>
  </si>
  <si>
    <t>Behea</t>
  </si>
  <si>
    <t>143.97411252572013</t>
  </si>
  <si>
    <t>01428</t>
  </si>
  <si>
    <t>257.7589401912939</t>
  </si>
  <si>
    <t>01429</t>
  </si>
  <si>
    <t>Piro</t>
  </si>
  <si>
    <t>218.20447915997818</t>
  </si>
  <si>
    <t>01430</t>
  </si>
  <si>
    <t>Charpokhari</t>
  </si>
  <si>
    <t>103.05819416555596</t>
  </si>
  <si>
    <t>01431</t>
  </si>
  <si>
    <t>Garhani</t>
  </si>
  <si>
    <t>118.20956398433114</t>
  </si>
  <si>
    <t>01432</t>
  </si>
  <si>
    <t>Agiaon</t>
  </si>
  <si>
    <t>157.43397475410788</t>
  </si>
  <si>
    <t>01433</t>
  </si>
  <si>
    <t>Tarari</t>
  </si>
  <si>
    <t>194.60588545993895</t>
  </si>
  <si>
    <t>01434</t>
  </si>
  <si>
    <t>Sahar</t>
  </si>
  <si>
    <t>119.00374742615938</t>
  </si>
  <si>
    <t>01435</t>
  </si>
  <si>
    <t>Simri</t>
  </si>
  <si>
    <t>176.5214890835432</t>
  </si>
  <si>
    <t>01436</t>
  </si>
  <si>
    <t>Chakki</t>
  </si>
  <si>
    <t>67.635383273117327</t>
  </si>
  <si>
    <t>625</t>
  </si>
  <si>
    <t>01437</t>
  </si>
  <si>
    <t>Barhampur</t>
  </si>
  <si>
    <t>182.94612278517039</t>
  </si>
  <si>
    <t>01438</t>
  </si>
  <si>
    <t>Chaugain</t>
  </si>
  <si>
    <t>57.603390518958349</t>
  </si>
  <si>
    <t>01439</t>
  </si>
  <si>
    <t>Kesath</t>
  </si>
  <si>
    <t>44.348685066572159</t>
  </si>
  <si>
    <t>01440</t>
  </si>
  <si>
    <t>Dumraon</t>
  </si>
  <si>
    <t>196.66864137117022</t>
  </si>
  <si>
    <t>01441</t>
  </si>
  <si>
    <t>Buxar</t>
  </si>
  <si>
    <t>174.0264857042705</t>
  </si>
  <si>
    <t>01442</t>
  </si>
  <si>
    <t>118.69978576889849</t>
  </si>
  <si>
    <t>01443</t>
  </si>
  <si>
    <t>Rajpur</t>
  </si>
  <si>
    <t>285.01255269225095</t>
  </si>
  <si>
    <t>01444</t>
  </si>
  <si>
    <t>Itarhi</t>
  </si>
  <si>
    <t>224.32159549144259</t>
  </si>
  <si>
    <t>01445</t>
  </si>
  <si>
    <t>Nawanagar</t>
  </si>
  <si>
    <t>175.22200815683868</t>
  </si>
  <si>
    <t>950</t>
  </si>
  <si>
    <t>01446</t>
  </si>
  <si>
    <t>169.31207920021694</t>
  </si>
  <si>
    <t>01447</t>
  </si>
  <si>
    <t>Nuaon</t>
  </si>
  <si>
    <t>182.22056953472105</t>
  </si>
  <si>
    <t>585</t>
  </si>
  <si>
    <t>01448</t>
  </si>
  <si>
    <t>Kudra</t>
  </si>
  <si>
    <t>209.89925279380518</t>
  </si>
  <si>
    <t>01449</t>
  </si>
  <si>
    <t>Mohania</t>
  </si>
  <si>
    <t>278.01082490144364</t>
  </si>
  <si>
    <t>01450</t>
  </si>
  <si>
    <t>Durgawati</t>
  </si>
  <si>
    <t>171.92463421612456</t>
  </si>
  <si>
    <t>797</t>
  </si>
  <si>
    <t>01451</t>
  </si>
  <si>
    <t>Chand</t>
  </si>
  <si>
    <t>203.75871994145541</t>
  </si>
  <si>
    <t>01452</t>
  </si>
  <si>
    <t>Chainpur</t>
  </si>
  <si>
    <t>455.37656779243088</t>
  </si>
  <si>
    <t>412</t>
  </si>
  <si>
    <t>01453</t>
  </si>
  <si>
    <t>Bhabua</t>
  </si>
  <si>
    <t>326.31223574672754</t>
  </si>
  <si>
    <t>01454</t>
  </si>
  <si>
    <t>186.04683121156211</t>
  </si>
  <si>
    <t>01455</t>
  </si>
  <si>
    <t>232.22939822504696</t>
  </si>
  <si>
    <t>01456</t>
  </si>
  <si>
    <t>Adhaura</t>
  </si>
  <si>
    <t>916.91423973654935</t>
  </si>
  <si>
    <t>01457</t>
  </si>
  <si>
    <t>Kochas</t>
  </si>
  <si>
    <t>237.25597222663293</t>
  </si>
  <si>
    <t>01458</t>
  </si>
  <si>
    <t>Dinara</t>
  </si>
  <si>
    <t>311.23179222436971</t>
  </si>
  <si>
    <t>01459</t>
  </si>
  <si>
    <t>Dawath</t>
  </si>
  <si>
    <t>115.40479895190501</t>
  </si>
  <si>
    <t>01460</t>
  </si>
  <si>
    <t>Suryapura</t>
  </si>
  <si>
    <t>50.038143359241197</t>
  </si>
  <si>
    <t>1150</t>
  </si>
  <si>
    <t>01461</t>
  </si>
  <si>
    <t>Bikramganj</t>
  </si>
  <si>
    <t>142.34518415119436</t>
  </si>
  <si>
    <t>01462</t>
  </si>
  <si>
    <t>Karakat</t>
  </si>
  <si>
    <t>202.02139205172455</t>
  </si>
  <si>
    <t>01463</t>
  </si>
  <si>
    <t>Nasriganj</t>
  </si>
  <si>
    <t>140.14039814501709</t>
  </si>
  <si>
    <t>991</t>
  </si>
  <si>
    <t>01464</t>
  </si>
  <si>
    <t>71.267082904433323</t>
  </si>
  <si>
    <t>01465</t>
  </si>
  <si>
    <t>Sanjhauli</t>
  </si>
  <si>
    <t>66.238071014152908</t>
  </si>
  <si>
    <t>01466</t>
  </si>
  <si>
    <t>165.99938830318143</t>
  </si>
  <si>
    <t>1044</t>
  </si>
  <si>
    <t>01467</t>
  </si>
  <si>
    <t>Kargahar</t>
  </si>
  <si>
    <t>324.55499909026923</t>
  </si>
  <si>
    <t>01468</t>
  </si>
  <si>
    <t>Chenari</t>
  </si>
  <si>
    <t>256.64759010001075</t>
  </si>
  <si>
    <t>512</t>
  </si>
  <si>
    <t>01469</t>
  </si>
  <si>
    <t>405.00869035377434</t>
  </si>
  <si>
    <t>01470</t>
  </si>
  <si>
    <t>Sheosagar</t>
  </si>
  <si>
    <t>346.09890806491524</t>
  </si>
  <si>
    <t>01471</t>
  </si>
  <si>
    <t>Sasaram</t>
  </si>
  <si>
    <t>288.73247598038023</t>
  </si>
  <si>
    <t>01472</t>
  </si>
  <si>
    <t>Akorhi Gola</t>
  </si>
  <si>
    <t>92.936979650860906</t>
  </si>
  <si>
    <t>01473</t>
  </si>
  <si>
    <t>Dehri</t>
  </si>
  <si>
    <t>173.82112913461967</t>
  </si>
  <si>
    <t>01474</t>
  </si>
  <si>
    <t>Tilouthu</t>
  </si>
  <si>
    <t>180.89744231635038</t>
  </si>
  <si>
    <t>604</t>
  </si>
  <si>
    <t>01475</t>
  </si>
  <si>
    <t>Rohtas</t>
  </si>
  <si>
    <t>310.37087578386246</t>
  </si>
  <si>
    <t>01476</t>
  </si>
  <si>
    <t>Daudnagar</t>
  </si>
  <si>
    <t>184.41790007148123</t>
  </si>
  <si>
    <t>01477</t>
  </si>
  <si>
    <t>Haspura</t>
  </si>
  <si>
    <t>142.55246889791707</t>
  </si>
  <si>
    <t>01478</t>
  </si>
  <si>
    <t>Goh</t>
  </si>
  <si>
    <t>305.17996823937835</t>
  </si>
  <si>
    <t>01479</t>
  </si>
  <si>
    <t>Rafiganj</t>
  </si>
  <si>
    <t>387.58011909154362</t>
  </si>
  <si>
    <t>01480</t>
  </si>
  <si>
    <t>Obra</t>
  </si>
  <si>
    <t>269.71858613532385</t>
  </si>
  <si>
    <t>01481</t>
  </si>
  <si>
    <t>Aurangabad</t>
  </si>
  <si>
    <t>269.13639985627748</t>
  </si>
  <si>
    <t>01482</t>
  </si>
  <si>
    <t>Barun</t>
  </si>
  <si>
    <t>312.59244711366472</t>
  </si>
  <si>
    <t>640</t>
  </si>
  <si>
    <t>01483</t>
  </si>
  <si>
    <t>Nabinagar</t>
  </si>
  <si>
    <t>545.91399462503819</t>
  </si>
  <si>
    <t>559</t>
  </si>
  <si>
    <t>01484</t>
  </si>
  <si>
    <t>Kutumba</t>
  </si>
  <si>
    <t>254.51936577879272</t>
  </si>
  <si>
    <t>01485</t>
  </si>
  <si>
    <t>Deo</t>
  </si>
  <si>
    <t>275.78995733109275</t>
  </si>
  <si>
    <t>01486</t>
  </si>
  <si>
    <t>Madanpur</t>
  </si>
  <si>
    <t>357.60792190421176</t>
  </si>
  <si>
    <t>236</t>
  </si>
  <si>
    <t>01487</t>
  </si>
  <si>
    <t>270.60517031990952</t>
  </si>
  <si>
    <t>01488</t>
  </si>
  <si>
    <t>Tikari</t>
  </si>
  <si>
    <t>237.05941911333491</t>
  </si>
  <si>
    <t>01489</t>
  </si>
  <si>
    <t>Belaganj</t>
  </si>
  <si>
    <t>201.54528945968093</t>
  </si>
  <si>
    <t>01490</t>
  </si>
  <si>
    <t>Khizirsarai</t>
  </si>
  <si>
    <t>189.78709228109577</t>
  </si>
  <si>
    <t>01491</t>
  </si>
  <si>
    <t>Neem Chak Bathani</t>
  </si>
  <si>
    <t>109.66679919442126</t>
  </si>
  <si>
    <t>01492</t>
  </si>
  <si>
    <t>Muhra</t>
  </si>
  <si>
    <t>175.59185512041239</t>
  </si>
  <si>
    <t>574</t>
  </si>
  <si>
    <t>01493</t>
  </si>
  <si>
    <t>Atri</t>
  </si>
  <si>
    <t>107.80256775512389</t>
  </si>
  <si>
    <t>01494</t>
  </si>
  <si>
    <t>Manpur</t>
  </si>
  <si>
    <t>128.14247837494389</t>
  </si>
  <si>
    <t>01495</t>
  </si>
  <si>
    <t>Gaya Town C.D.Block</t>
  </si>
  <si>
    <t>190.07870390288531</t>
  </si>
  <si>
    <t>01496</t>
  </si>
  <si>
    <t>Paraiya</t>
  </si>
  <si>
    <t>134.67249576287381</t>
  </si>
  <si>
    <t>01497</t>
  </si>
  <si>
    <t>Guraru</t>
  </si>
  <si>
    <t>156.69958790876186</t>
  </si>
  <si>
    <t>01498</t>
  </si>
  <si>
    <t>Gurua</t>
  </si>
  <si>
    <t>198.5666850371164</t>
  </si>
  <si>
    <t>01499</t>
  </si>
  <si>
    <t>Amas</t>
  </si>
  <si>
    <t>136.68253301306598</t>
  </si>
  <si>
    <t>01500</t>
  </si>
  <si>
    <t>Banke Bazar</t>
  </si>
  <si>
    <t>179.51819731379291</t>
  </si>
  <si>
    <t>01501</t>
  </si>
  <si>
    <t>Imamganj</t>
  </si>
  <si>
    <t>254.8060692393837</t>
  </si>
  <si>
    <t>01502</t>
  </si>
  <si>
    <t>Dumaria</t>
  </si>
  <si>
    <t>336.30110282878036</t>
  </si>
  <si>
    <t>383</t>
  </si>
  <si>
    <t>01503</t>
  </si>
  <si>
    <t>Sherghati</t>
  </si>
  <si>
    <t>147.90958045196305</t>
  </si>
  <si>
    <t>01504</t>
  </si>
  <si>
    <t>Dobhi</t>
  </si>
  <si>
    <t>169.99916080252024</t>
  </si>
  <si>
    <t>01505</t>
  </si>
  <si>
    <t>Bodh Gaya</t>
  </si>
  <si>
    <t>258.37831160630549</t>
  </si>
  <si>
    <t>01506</t>
  </si>
  <si>
    <t>Tan Kuppa</t>
  </si>
  <si>
    <t>147.14930729515459</t>
  </si>
  <si>
    <t>01507</t>
  </si>
  <si>
    <t>Wazirganj</t>
  </si>
  <si>
    <t>262.09635978412206</t>
  </si>
  <si>
    <t>01508</t>
  </si>
  <si>
    <t>342.14374996534917</t>
  </si>
  <si>
    <t>01509</t>
  </si>
  <si>
    <t>344.40374003421812</t>
  </si>
  <si>
    <t>581</t>
  </si>
  <si>
    <t>01510</t>
  </si>
  <si>
    <t>Barachatti</t>
  </si>
  <si>
    <t>296.40238414750513</t>
  </si>
  <si>
    <t>01511</t>
  </si>
  <si>
    <t>Nardiganj</t>
  </si>
  <si>
    <t>109.51409685607814</t>
  </si>
  <si>
    <t>01512</t>
  </si>
  <si>
    <t>Nawada</t>
  </si>
  <si>
    <t>174.76052286212243</t>
  </si>
  <si>
    <t>1840</t>
  </si>
  <si>
    <t>01513</t>
  </si>
  <si>
    <t>Warisaliganj</t>
  </si>
  <si>
    <t>153.58405126366947</t>
  </si>
  <si>
    <t>01514</t>
  </si>
  <si>
    <t>Kashi Chak</t>
  </si>
  <si>
    <t>85.444721520834065</t>
  </si>
  <si>
    <t>01515</t>
  </si>
  <si>
    <t>Pakribarawan</t>
  </si>
  <si>
    <t>204.07458698636913</t>
  </si>
  <si>
    <t>01516</t>
  </si>
  <si>
    <t>Kawakol</t>
  </si>
  <si>
    <t>300.68508444093294</t>
  </si>
  <si>
    <t>01517</t>
  </si>
  <si>
    <t>Roh</t>
  </si>
  <si>
    <t>161.22214961908199</t>
  </si>
  <si>
    <t>1008</t>
  </si>
  <si>
    <t>01518</t>
  </si>
  <si>
    <t>Gobindpur</t>
  </si>
  <si>
    <t>150.33733915619166</t>
  </si>
  <si>
    <t>635</t>
  </si>
  <si>
    <t>01519</t>
  </si>
  <si>
    <t>193.55399102271508</t>
  </si>
  <si>
    <t>01520</t>
  </si>
  <si>
    <t>Hisua</t>
  </si>
  <si>
    <t>125.48750417972695</t>
  </si>
  <si>
    <t>01521</t>
  </si>
  <si>
    <t>Narhat</t>
  </si>
  <si>
    <t>86.121119876558609</t>
  </si>
  <si>
    <t>01522</t>
  </si>
  <si>
    <t>Meskaur</t>
  </si>
  <si>
    <t>122.4281023861421</t>
  </si>
  <si>
    <t>01523</t>
  </si>
  <si>
    <t>Sirdala</t>
  </si>
  <si>
    <t>258.04076964463798</t>
  </si>
  <si>
    <t>01524</t>
  </si>
  <si>
    <t>Rajauli</t>
  </si>
  <si>
    <t>368.73075902682183</t>
  </si>
  <si>
    <t>01525</t>
  </si>
  <si>
    <t>Islamnagar Aliganj</t>
  </si>
  <si>
    <t>171.7075107890835</t>
  </si>
  <si>
    <t>01526</t>
  </si>
  <si>
    <t>97.190773929453997</t>
  </si>
  <si>
    <t>01527</t>
  </si>
  <si>
    <t>Jamui</t>
  </si>
  <si>
    <t>175.77054859582108</t>
  </si>
  <si>
    <t>01528</t>
  </si>
  <si>
    <t>Barhat</t>
  </si>
  <si>
    <t>01529</t>
  </si>
  <si>
    <t>Lakshmipur</t>
  </si>
  <si>
    <t>183.21079174063973</t>
  </si>
  <si>
    <t>01530</t>
  </si>
  <si>
    <t>Jhajha</t>
  </si>
  <si>
    <t>477.95249084627784</t>
  </si>
  <si>
    <t>560</t>
  </si>
  <si>
    <t>01531</t>
  </si>
  <si>
    <t>Gidhaur</t>
  </si>
  <si>
    <t>75.36</t>
  </si>
  <si>
    <t>01532</t>
  </si>
  <si>
    <t>Khaira</t>
  </si>
  <si>
    <t>547.86583704507677</t>
  </si>
  <si>
    <t>430</t>
  </si>
  <si>
    <t>01533</t>
  </si>
  <si>
    <t>Sono</t>
  </si>
  <si>
    <t>299.7503544070384</t>
  </si>
  <si>
    <t>01534</t>
  </si>
  <si>
    <t>Chakai</t>
  </si>
  <si>
    <t>532</t>
  </si>
  <si>
    <t>826.18912250712071</t>
  </si>
  <si>
    <t>01535</t>
  </si>
  <si>
    <t>Ratni Faridpur</t>
  </si>
  <si>
    <t>118.54804722974635</t>
  </si>
  <si>
    <t>01536</t>
  </si>
  <si>
    <t>Jehanabad</t>
  </si>
  <si>
    <t>167.24298001571827</t>
  </si>
  <si>
    <t>01537</t>
  </si>
  <si>
    <t>Kako</t>
  </si>
  <si>
    <t>133.08911129064785</t>
  </si>
  <si>
    <t>01538</t>
  </si>
  <si>
    <t>Modanganj</t>
  </si>
  <si>
    <t>83.39849936783817</t>
  </si>
  <si>
    <t>01539</t>
  </si>
  <si>
    <t>Ghoshi</t>
  </si>
  <si>
    <t>99.267135611190042</t>
  </si>
  <si>
    <t>01540</t>
  </si>
  <si>
    <t>Makhdumpur</t>
  </si>
  <si>
    <t>239.20154096759757</t>
  </si>
  <si>
    <t>01541</t>
  </si>
  <si>
    <t>Hulasganj</t>
  </si>
  <si>
    <t>90.233421775922423</t>
  </si>
  <si>
    <t>01542</t>
  </si>
  <si>
    <t>Arwal</t>
  </si>
  <si>
    <t>124.3235899297505</t>
  </si>
  <si>
    <t>01543</t>
  </si>
  <si>
    <t>Kaler</t>
  </si>
  <si>
    <t>136.8633737594877</t>
  </si>
  <si>
    <t>01544</t>
  </si>
  <si>
    <t>Karpi</t>
  </si>
  <si>
    <t>208.12529191546551</t>
  </si>
  <si>
    <t>01545</t>
  </si>
  <si>
    <t>Sonbhadra Banshi Suryapur</t>
  </si>
  <si>
    <t>46.719474680314178</t>
  </si>
  <si>
    <t>01546</t>
  </si>
  <si>
    <t>Kurtha</t>
  </si>
  <si>
    <t>121.96850696996459</t>
  </si>
  <si>
    <t>01547</t>
  </si>
  <si>
    <t>Chungthang</t>
  </si>
  <si>
    <t>3285</t>
  </si>
  <si>
    <t>01548</t>
  </si>
  <si>
    <t>Mangan</t>
  </si>
  <si>
    <t>01549</t>
  </si>
  <si>
    <t>Gyalshing</t>
  </si>
  <si>
    <t>01550</t>
  </si>
  <si>
    <t>Soreng</t>
  </si>
  <si>
    <t>01551</t>
  </si>
  <si>
    <t>Namchi</t>
  </si>
  <si>
    <t>01552</t>
  </si>
  <si>
    <t>Ravong</t>
  </si>
  <si>
    <t>452</t>
  </si>
  <si>
    <t>01553</t>
  </si>
  <si>
    <t>Gangtok</t>
  </si>
  <si>
    <t>563</t>
  </si>
  <si>
    <t>01554</t>
  </si>
  <si>
    <t>Pakyong</t>
  </si>
  <si>
    <t>01555</t>
  </si>
  <si>
    <t>Rongli</t>
  </si>
  <si>
    <t>01556</t>
  </si>
  <si>
    <t>Zemithang</t>
  </si>
  <si>
    <t>522.97329116671858</t>
  </si>
  <si>
    <t>01557</t>
  </si>
  <si>
    <t>LUMLA</t>
  </si>
  <si>
    <t>79.894203225490656</t>
  </si>
  <si>
    <t>01558</t>
  </si>
  <si>
    <t>DUDUNGHAR</t>
  </si>
  <si>
    <t>633</t>
  </si>
  <si>
    <t>78.267105358366564</t>
  </si>
  <si>
    <t>01559</t>
  </si>
  <si>
    <t>TAWANG CIRCLE</t>
  </si>
  <si>
    <t>158.79920490676383</t>
  </si>
  <si>
    <t>01560</t>
  </si>
  <si>
    <t>KITPI CIRCLE</t>
  </si>
  <si>
    <t>26.218463358885849</t>
  </si>
  <si>
    <t>01561</t>
  </si>
  <si>
    <t>Jang</t>
  </si>
  <si>
    <t>191.30418275226549</t>
  </si>
  <si>
    <t>01562</t>
  </si>
  <si>
    <t>Lhou</t>
  </si>
  <si>
    <t>78.960470926743312</t>
  </si>
  <si>
    <t>01563</t>
  </si>
  <si>
    <t>MUKTO CIRCLE</t>
  </si>
  <si>
    <t>103.63504028671028</t>
  </si>
  <si>
    <t>01564</t>
  </si>
  <si>
    <t>Bongkhar</t>
  </si>
  <si>
    <t>289</t>
  </si>
  <si>
    <t>60.822027658007762</t>
  </si>
  <si>
    <t>01565</t>
  </si>
  <si>
    <t>Thingbu</t>
  </si>
  <si>
    <t>1592</t>
  </si>
  <si>
    <t>871.12601036004787</t>
  </si>
  <si>
    <t>246</t>
  </si>
  <si>
    <t>01566</t>
  </si>
  <si>
    <t>Dirang</t>
  </si>
  <si>
    <t>1819.7162867936008</t>
  </si>
  <si>
    <t>01567</t>
  </si>
  <si>
    <t>Thembang</t>
  </si>
  <si>
    <t>180.01622594630226</t>
  </si>
  <si>
    <t>01568</t>
  </si>
  <si>
    <t>Nafra</t>
  </si>
  <si>
    <t>1509.0314884770428</t>
  </si>
  <si>
    <t>01569</t>
  </si>
  <si>
    <t>Bomdila</t>
  </si>
  <si>
    <t>29.903392236898817</t>
  </si>
  <si>
    <t>01570</t>
  </si>
  <si>
    <t>Kalaktang</t>
  </si>
  <si>
    <t>774.58723981441585</t>
  </si>
  <si>
    <t>01571</t>
  </si>
  <si>
    <t>Shergaon</t>
  </si>
  <si>
    <t>398.93665542681845</t>
  </si>
  <si>
    <t>01572</t>
  </si>
  <si>
    <t>Rupa</t>
  </si>
  <si>
    <t>334.01791192353522</t>
  </si>
  <si>
    <t>01573</t>
  </si>
  <si>
    <t>Singchung</t>
  </si>
  <si>
    <t>608.16631594959813</t>
  </si>
  <si>
    <t>01574</t>
  </si>
  <si>
    <t>Jamiri</t>
  </si>
  <si>
    <t>349.1028953172933</t>
  </si>
  <si>
    <t>01575</t>
  </si>
  <si>
    <t>Thrizino</t>
  </si>
  <si>
    <t>471.03723094085137</t>
  </si>
  <si>
    <t>01576</t>
  </si>
  <si>
    <t>Bhalukpong</t>
  </si>
  <si>
    <t>446.71622341099817</t>
  </si>
  <si>
    <t>01577</t>
  </si>
  <si>
    <t>Kamengbari-Doimara</t>
  </si>
  <si>
    <t>178.55790634586617</t>
  </si>
  <si>
    <t>01578</t>
  </si>
  <si>
    <t>Balemu</t>
  </si>
  <si>
    <t>322.21022741677865</t>
  </si>
  <si>
    <t>01579</t>
  </si>
  <si>
    <t>Seijosa</t>
  </si>
  <si>
    <t>812</t>
  </si>
  <si>
    <t>558.59465350342975</t>
  </si>
  <si>
    <t>01580</t>
  </si>
  <si>
    <t>Dissing-Passo</t>
  </si>
  <si>
    <t>162.05449067247901</t>
  </si>
  <si>
    <t>01581</t>
  </si>
  <si>
    <t>Pakke-Kessang</t>
  </si>
  <si>
    <t>316.99429450605811</t>
  </si>
  <si>
    <t>01582</t>
  </si>
  <si>
    <t>Pizirang(Veo)</t>
  </si>
  <si>
    <t>221.59497403679728</t>
  </si>
  <si>
    <t>01583</t>
  </si>
  <si>
    <t>Richukrong</t>
  </si>
  <si>
    <t>159.43150201936021</t>
  </si>
  <si>
    <t>01584</t>
  </si>
  <si>
    <t>Seppa</t>
  </si>
  <si>
    <t>513.00493621385999</t>
  </si>
  <si>
    <t>01585</t>
  </si>
  <si>
    <t>Lada</t>
  </si>
  <si>
    <t>393.97833194435543</t>
  </si>
  <si>
    <t>01586</t>
  </si>
  <si>
    <t>Bameng</t>
  </si>
  <si>
    <t>206.99185845246492</t>
  </si>
  <si>
    <t>01587</t>
  </si>
  <si>
    <t>Pipu-Dipu</t>
  </si>
  <si>
    <t>173.23956663888711</t>
  </si>
  <si>
    <t>01588</t>
  </si>
  <si>
    <t>Gyawe Purang</t>
  </si>
  <si>
    <t>166.10449387781267</t>
  </si>
  <si>
    <t>01589</t>
  </si>
  <si>
    <t>Khenewa</t>
  </si>
  <si>
    <t>153.24097698570421</t>
  </si>
  <si>
    <t>01590</t>
  </si>
  <si>
    <t>Chayangtajo</t>
  </si>
  <si>
    <t>1206</t>
  </si>
  <si>
    <t>197.1250721200077</t>
  </si>
  <si>
    <t>01591</t>
  </si>
  <si>
    <t>Sawa</t>
  </si>
  <si>
    <t>911.64484902878394</t>
  </si>
  <si>
    <t>01592</t>
  </si>
  <si>
    <t>Balijan</t>
  </si>
  <si>
    <t>189.63141050612808</t>
  </si>
  <si>
    <t>01593</t>
  </si>
  <si>
    <t>Banderdawa</t>
  </si>
  <si>
    <t>145.9557040544185</t>
  </si>
  <si>
    <t>01594</t>
  </si>
  <si>
    <t>Sangdupota (Besar Nello)</t>
  </si>
  <si>
    <t>554</t>
  </si>
  <si>
    <t>409.17186179617039</t>
  </si>
  <si>
    <t>01595</t>
  </si>
  <si>
    <t>Taraso</t>
  </si>
  <si>
    <t>41.424488328189149</t>
  </si>
  <si>
    <t>01596</t>
  </si>
  <si>
    <t>Itanagar</t>
  </si>
  <si>
    <t>167.08810643972311</t>
  </si>
  <si>
    <t>01597</t>
  </si>
  <si>
    <t>Naharlagun</t>
  </si>
  <si>
    <t>153.30069221779391</t>
  </si>
  <si>
    <t>01598</t>
  </si>
  <si>
    <t>Doimukh</t>
  </si>
  <si>
    <t>92.019837583530617</t>
  </si>
  <si>
    <t>01599</t>
  </si>
  <si>
    <t>Gumto</t>
  </si>
  <si>
    <t>41.144382847382452</t>
  </si>
  <si>
    <t>01600</t>
  </si>
  <si>
    <t>Toru</t>
  </si>
  <si>
    <t>268.6937760330826</t>
  </si>
  <si>
    <t>01601</t>
  </si>
  <si>
    <t>Sagalee</t>
  </si>
  <si>
    <t>263.07091786281507</t>
  </si>
  <si>
    <t>01602</t>
  </si>
  <si>
    <t>Parang</t>
  </si>
  <si>
    <t>215.53598034221329</t>
  </si>
  <si>
    <t>01603</t>
  </si>
  <si>
    <t>Leporiang</t>
  </si>
  <si>
    <t>284.24481735638727</t>
  </si>
  <si>
    <t>01604</t>
  </si>
  <si>
    <t>Mengio</t>
  </si>
  <si>
    <t>602.90111174372953</t>
  </si>
  <si>
    <t>01605</t>
  </si>
  <si>
    <t>Kimin</t>
  </si>
  <si>
    <t>320.82451829432739</t>
  </si>
  <si>
    <t>01606</t>
  </si>
  <si>
    <t>Kakoi</t>
  </si>
  <si>
    <t>266.9923945941087</t>
  </si>
  <si>
    <t>01607</t>
  </si>
  <si>
    <t>Taksing</t>
  </si>
  <si>
    <t>660.62384617010582</t>
  </si>
  <si>
    <t>01608</t>
  </si>
  <si>
    <t>Limeking</t>
  </si>
  <si>
    <t>1041.4961667726257</t>
  </si>
  <si>
    <t>01609</t>
  </si>
  <si>
    <t>Nacho</t>
  </si>
  <si>
    <t>1449.2379885434061</t>
  </si>
  <si>
    <t>01610</t>
  </si>
  <si>
    <t>Siyum</t>
  </si>
  <si>
    <t>601.91112765988578</t>
  </si>
  <si>
    <t>01611</t>
  </si>
  <si>
    <t>Taliha</t>
  </si>
  <si>
    <t>642.06673961857962</t>
  </si>
  <si>
    <t>01612</t>
  </si>
  <si>
    <t>Payeng</t>
  </si>
  <si>
    <t>257.98151270615284</t>
  </si>
  <si>
    <t>01613</t>
  </si>
  <si>
    <t>Giba</t>
  </si>
  <si>
    <t>462.54417032374715</t>
  </si>
  <si>
    <t>01614</t>
  </si>
  <si>
    <t>Chetam (Peer Yapu)</t>
  </si>
  <si>
    <t>279.785827058439</t>
  </si>
  <si>
    <t>01615</t>
  </si>
  <si>
    <t>Daporijo</t>
  </si>
  <si>
    <t>299.92080218920779</t>
  </si>
  <si>
    <t>01616</t>
  </si>
  <si>
    <t>Puchi Geko</t>
  </si>
  <si>
    <t>248.26275696444162</t>
  </si>
  <si>
    <t>01617</t>
  </si>
  <si>
    <t>Dumporijo</t>
  </si>
  <si>
    <t>128.85926730480622</t>
  </si>
  <si>
    <t>01618</t>
  </si>
  <si>
    <t>Gussar</t>
  </si>
  <si>
    <t>863</t>
  </si>
  <si>
    <t>202.64177412982079</t>
  </si>
  <si>
    <t>01619</t>
  </si>
  <si>
    <t>Gite-Ripa</t>
  </si>
  <si>
    <t>204.1624735576415</t>
  </si>
  <si>
    <t>01620</t>
  </si>
  <si>
    <t>Baririjo</t>
  </si>
  <si>
    <t>414.32770801457519</t>
  </si>
  <si>
    <t>01621</t>
  </si>
  <si>
    <t>Maro</t>
  </si>
  <si>
    <t>138.17783898656458</t>
  </si>
  <si>
    <t>01622</t>
  </si>
  <si>
    <t>Mechuka</t>
  </si>
  <si>
    <t>745.31262852106931</t>
  </si>
  <si>
    <t>01623</t>
  </si>
  <si>
    <t>Monigong</t>
  </si>
  <si>
    <t>1297.7728563501648</t>
  </si>
  <si>
    <t>01624</t>
  </si>
  <si>
    <t>Pidi</t>
  </si>
  <si>
    <t>309.31599046904068</t>
  </si>
  <si>
    <t>01625</t>
  </si>
  <si>
    <t>Payum</t>
  </si>
  <si>
    <t>544</t>
  </si>
  <si>
    <t>871.87371478930697</t>
  </si>
  <si>
    <t>01626</t>
  </si>
  <si>
    <t>Tato</t>
  </si>
  <si>
    <t>523.08075203185695</t>
  </si>
  <si>
    <t>01627</t>
  </si>
  <si>
    <t>Kaying</t>
  </si>
  <si>
    <t>265.65437216437641</t>
  </si>
  <si>
    <t>01628</t>
  </si>
  <si>
    <t>Darak</t>
  </si>
  <si>
    <t>411.93220615595521</t>
  </si>
  <si>
    <t>01629</t>
  </si>
  <si>
    <t>Kamba</t>
  </si>
  <si>
    <t>300.7401834383262</t>
  </si>
  <si>
    <t>01630</t>
  </si>
  <si>
    <t>Rumgong</t>
  </si>
  <si>
    <t>245.83980154714888</t>
  </si>
  <si>
    <t>01631</t>
  </si>
  <si>
    <t>Jomlo Mobuk</t>
  </si>
  <si>
    <t>139.62587720729837</t>
  </si>
  <si>
    <t>01632</t>
  </si>
  <si>
    <t>Liromoba</t>
  </si>
  <si>
    <t>285.914580409309</t>
  </si>
  <si>
    <t>01633</t>
  </si>
  <si>
    <t>Yomcha</t>
  </si>
  <si>
    <t>93.301302346835527</t>
  </si>
  <si>
    <t>01634</t>
  </si>
  <si>
    <t>Aalo</t>
  </si>
  <si>
    <t>460.45236152364788</t>
  </si>
  <si>
    <t>01635</t>
  </si>
  <si>
    <t>Tirbin</t>
  </si>
  <si>
    <t>137.03900512452265</t>
  </si>
  <si>
    <t>01636</t>
  </si>
  <si>
    <t>Basar</t>
  </si>
  <si>
    <t>345.57567646962821</t>
  </si>
  <si>
    <t>01637</t>
  </si>
  <si>
    <t>Daring</t>
  </si>
  <si>
    <t>412.42132062538758</t>
  </si>
  <si>
    <t>01638</t>
  </si>
  <si>
    <t>Gensi</t>
  </si>
  <si>
    <t>311.48983255540685</t>
  </si>
  <si>
    <t>01639</t>
  </si>
  <si>
    <t>Sibe</t>
  </si>
  <si>
    <t>161.24473675620982</t>
  </si>
  <si>
    <t>01640</t>
  </si>
  <si>
    <t>Likabali</t>
  </si>
  <si>
    <t>340.64105493357704</t>
  </si>
  <si>
    <t>01641</t>
  </si>
  <si>
    <t>Kangku</t>
  </si>
  <si>
    <t>495</t>
  </si>
  <si>
    <t>504.82047850638116</t>
  </si>
  <si>
    <t>01642</t>
  </si>
  <si>
    <t>Bagra</t>
  </si>
  <si>
    <t>160.9512680745504</t>
  </si>
  <si>
    <t>01643</t>
  </si>
  <si>
    <t>Boleng</t>
  </si>
  <si>
    <t>488.52182377913994</t>
  </si>
  <si>
    <t>01644</t>
  </si>
  <si>
    <t>158.23156762470953</t>
  </si>
  <si>
    <t>01645</t>
  </si>
  <si>
    <t>Pangin</t>
  </si>
  <si>
    <t>622</t>
  </si>
  <si>
    <t>177.1283015143045</t>
  </si>
  <si>
    <t>01646</t>
  </si>
  <si>
    <t>Kebang</t>
  </si>
  <si>
    <t>430.87734201913923</t>
  </si>
  <si>
    <t>01647</t>
  </si>
  <si>
    <t>Rebo-Perging</t>
  </si>
  <si>
    <t>139.70262918693729</t>
  </si>
  <si>
    <t>01648</t>
  </si>
  <si>
    <t>Koyu</t>
  </si>
  <si>
    <t>89.881256091382312</t>
  </si>
  <si>
    <t>01649</t>
  </si>
  <si>
    <t>Kora</t>
  </si>
  <si>
    <t>195.39878909403913</t>
  </si>
  <si>
    <t>01650</t>
  </si>
  <si>
    <t>Nari</t>
  </si>
  <si>
    <t>116.47187321640416</t>
  </si>
  <si>
    <t>01651</t>
  </si>
  <si>
    <t>New Seren</t>
  </si>
  <si>
    <t>143.31100078184679</t>
  </si>
  <si>
    <t>01652</t>
  </si>
  <si>
    <t>Bilat</t>
  </si>
  <si>
    <t>898</t>
  </si>
  <si>
    <t>277.58616194999456</t>
  </si>
  <si>
    <t>01653</t>
  </si>
  <si>
    <t>Ruksin</t>
  </si>
  <si>
    <t>105.9946730482647</t>
  </si>
  <si>
    <t>01654</t>
  </si>
  <si>
    <t>Sille-Oyan</t>
  </si>
  <si>
    <t>146.57145776016722</t>
  </si>
  <si>
    <t>01655</t>
  </si>
  <si>
    <t>Pasighat</t>
  </si>
  <si>
    <t>304.74338287917578</t>
  </si>
  <si>
    <t>01656</t>
  </si>
  <si>
    <t>Mebo</t>
  </si>
  <si>
    <t>571.71317881439529</t>
  </si>
  <si>
    <t>01657</t>
  </si>
  <si>
    <t>Namsing</t>
  </si>
  <si>
    <t>256.87033163651961</t>
  </si>
  <si>
    <t>01658</t>
  </si>
  <si>
    <t>Tuting</t>
  </si>
  <si>
    <t>2482.2282066747694</t>
  </si>
  <si>
    <t>01659</t>
  </si>
  <si>
    <t>Migging</t>
  </si>
  <si>
    <t>519.32385452627682</t>
  </si>
  <si>
    <t>01660</t>
  </si>
  <si>
    <t>Palling</t>
  </si>
  <si>
    <t>613</t>
  </si>
  <si>
    <t>158.96303447105285</t>
  </si>
  <si>
    <t>01661</t>
  </si>
  <si>
    <t>Gelling</t>
  </si>
  <si>
    <t>382.49200585580536</t>
  </si>
  <si>
    <t>01662</t>
  </si>
  <si>
    <t>Singa</t>
  </si>
  <si>
    <t>785.74697889545928</t>
  </si>
  <si>
    <t>01663</t>
  </si>
  <si>
    <t>Yingkiong</t>
  </si>
  <si>
    <t>523.85795125617938</t>
  </si>
  <si>
    <t>01664</t>
  </si>
  <si>
    <t>Jengging</t>
  </si>
  <si>
    <t>525.86533769386745</t>
  </si>
  <si>
    <t>01665</t>
  </si>
  <si>
    <t>Geku</t>
  </si>
  <si>
    <t>214.07128503405278</t>
  </si>
  <si>
    <t>01666</t>
  </si>
  <si>
    <t>Mariyang</t>
  </si>
  <si>
    <t>586.48641071260784</t>
  </si>
  <si>
    <t>01667</t>
  </si>
  <si>
    <t>Mopom ( Adipasi )</t>
  </si>
  <si>
    <t>115.12011675239218</t>
  </si>
  <si>
    <t>01668</t>
  </si>
  <si>
    <t>Katan</t>
  </si>
  <si>
    <t>295.84481812753654</t>
  </si>
  <si>
    <t>01669</t>
  </si>
  <si>
    <t>Khimiyong</t>
  </si>
  <si>
    <t>572</t>
  </si>
  <si>
    <t>137.30344793396625</t>
  </si>
  <si>
    <t>01670</t>
  </si>
  <si>
    <t>Yatdam</t>
  </si>
  <si>
    <t>496</t>
  </si>
  <si>
    <t>90.848697419626703</t>
  </si>
  <si>
    <t>01671</t>
  </si>
  <si>
    <t>Changlang</t>
  </si>
  <si>
    <t>347.47652628708823</t>
  </si>
  <si>
    <t>01672</t>
  </si>
  <si>
    <t>Namtok</t>
  </si>
  <si>
    <t>59.214399028332053</t>
  </si>
  <si>
    <t>01673</t>
  </si>
  <si>
    <t>Manmao</t>
  </si>
  <si>
    <t>569</t>
  </si>
  <si>
    <t>253.34402498574721</t>
  </si>
  <si>
    <t>01674</t>
  </si>
  <si>
    <t>Renuk</t>
  </si>
  <si>
    <t>67.958369481694461</t>
  </si>
  <si>
    <t>01675</t>
  </si>
  <si>
    <t>Lyngok-Longtoi</t>
  </si>
  <si>
    <t>49.671144932206332</t>
  </si>
  <si>
    <t>01676</t>
  </si>
  <si>
    <t>Nampong</t>
  </si>
  <si>
    <t>156.01438911335299</t>
  </si>
  <si>
    <t>01677</t>
  </si>
  <si>
    <t>Tikhak Rima Putok</t>
  </si>
  <si>
    <t>574.70419899362957</t>
  </si>
  <si>
    <t>01678</t>
  </si>
  <si>
    <t>Jairampur</t>
  </si>
  <si>
    <t>150.13050591180627</t>
  </si>
  <si>
    <t>01679</t>
  </si>
  <si>
    <t>Vijoynagar</t>
  </si>
  <si>
    <t>619.08851597551006</t>
  </si>
  <si>
    <t>01680</t>
  </si>
  <si>
    <t>Miao</t>
  </si>
  <si>
    <t>1715.9945715489678</t>
  </si>
  <si>
    <t>01681</t>
  </si>
  <si>
    <t>Kharsang</t>
  </si>
  <si>
    <t>72.54221302332499</t>
  </si>
  <si>
    <t>01682</t>
  </si>
  <si>
    <t>Diyun</t>
  </si>
  <si>
    <t>179.39584314503136</t>
  </si>
  <si>
    <t>01683</t>
  </si>
  <si>
    <t>Bordumsa</t>
  </si>
  <si>
    <t>188.31315221971596</t>
  </si>
  <si>
    <t>01684</t>
  </si>
  <si>
    <t>Namsang</t>
  </si>
  <si>
    <t>310.8430940285632</t>
  </si>
  <si>
    <t>01685</t>
  </si>
  <si>
    <t>Soha</t>
  </si>
  <si>
    <t>99.245299580783652</t>
  </si>
  <si>
    <t>01686</t>
  </si>
  <si>
    <t>Khonsa</t>
  </si>
  <si>
    <t>545.35464896305757</t>
  </si>
  <si>
    <t>01687</t>
  </si>
  <si>
    <t>Dadam</t>
  </si>
  <si>
    <t>53.501188031902814</t>
  </si>
  <si>
    <t>01688</t>
  </si>
  <si>
    <t>Kanubari</t>
  </si>
  <si>
    <t>137.16084085417225</t>
  </si>
  <si>
    <t>01689</t>
  </si>
  <si>
    <t>Lawnu</t>
  </si>
  <si>
    <t>126.56784393649704</t>
  </si>
  <si>
    <t>01690</t>
  </si>
  <si>
    <t>Longding</t>
  </si>
  <si>
    <t>233.26041356626493</t>
  </si>
  <si>
    <t>01691</t>
  </si>
  <si>
    <t>Pumao</t>
  </si>
  <si>
    <t>129.27269241828813</t>
  </si>
  <si>
    <t>01692</t>
  </si>
  <si>
    <t>Pangchao</t>
  </si>
  <si>
    <t>209.87002779641523</t>
  </si>
  <si>
    <t>01693</t>
  </si>
  <si>
    <t>Wakka</t>
  </si>
  <si>
    <t>243.60318221029425</t>
  </si>
  <si>
    <t>01694</t>
  </si>
  <si>
    <t>Laju</t>
  </si>
  <si>
    <t>273.320768613761</t>
  </si>
  <si>
    <t>01695</t>
  </si>
  <si>
    <t>Ziro (Sadar)</t>
  </si>
  <si>
    <t>296.66802130498422</t>
  </si>
  <si>
    <t>01696</t>
  </si>
  <si>
    <t>Old Ziro</t>
  </si>
  <si>
    <t>176.89059437453471</t>
  </si>
  <si>
    <t>01697</t>
  </si>
  <si>
    <t>Yachuli</t>
  </si>
  <si>
    <t>567.35945507575775</t>
  </si>
  <si>
    <t>01698</t>
  </si>
  <si>
    <t>Yazali</t>
  </si>
  <si>
    <t>453.17096854242112</t>
  </si>
  <si>
    <t>01699</t>
  </si>
  <si>
    <t>Pistana</t>
  </si>
  <si>
    <t>1220</t>
  </si>
  <si>
    <t>363.73530607033808</t>
  </si>
  <si>
    <t>01700</t>
  </si>
  <si>
    <t>Kamporijo</t>
  </si>
  <si>
    <t>958.50958616398793</t>
  </si>
  <si>
    <t>01701</t>
  </si>
  <si>
    <t>Dollungmukh</t>
  </si>
  <si>
    <t>440.84502098490594</t>
  </si>
  <si>
    <t>01702</t>
  </si>
  <si>
    <t>Raga</t>
  </si>
  <si>
    <t>250.82104748307</t>
  </si>
  <si>
    <t>01703</t>
  </si>
  <si>
    <t>Palin</t>
  </si>
  <si>
    <t>280.95605638328766</t>
  </si>
  <si>
    <t>01704</t>
  </si>
  <si>
    <t>Yangte</t>
  </si>
  <si>
    <t>152.07216615890397</t>
  </si>
  <si>
    <t>01705</t>
  </si>
  <si>
    <t>Sangram</t>
  </si>
  <si>
    <t>204.91530765475432</t>
  </si>
  <si>
    <t>01706</t>
  </si>
  <si>
    <t>Nyapin</t>
  </si>
  <si>
    <t>275.33861488929125</t>
  </si>
  <si>
    <t>01707</t>
  </si>
  <si>
    <t>Phassang</t>
  </si>
  <si>
    <t>270.26238868873634</t>
  </si>
  <si>
    <t>01708</t>
  </si>
  <si>
    <t>Koloriang</t>
  </si>
  <si>
    <t>1377</t>
  </si>
  <si>
    <t>347.30158632068765</t>
  </si>
  <si>
    <t>01709</t>
  </si>
  <si>
    <t>Chambang</t>
  </si>
  <si>
    <t>167.23552567342927</t>
  </si>
  <si>
    <t>01710</t>
  </si>
  <si>
    <t>Gangte</t>
  </si>
  <si>
    <t>63.947386309564273</t>
  </si>
  <si>
    <t>01711</t>
  </si>
  <si>
    <t>Tarak-Lengdi</t>
  </si>
  <si>
    <t>59.822952521613388</t>
  </si>
  <si>
    <t>01712</t>
  </si>
  <si>
    <t>Sarli</t>
  </si>
  <si>
    <t>1173.1681302179568</t>
  </si>
  <si>
    <t>01713</t>
  </si>
  <si>
    <t>Parsi-Parlo</t>
  </si>
  <si>
    <t>378.7200672347841</t>
  </si>
  <si>
    <t>01714</t>
  </si>
  <si>
    <t>Damin</t>
  </si>
  <si>
    <t>1381.3213983351975</t>
  </si>
  <si>
    <t>01715</t>
  </si>
  <si>
    <t>Longding Koling (Pipsorang)</t>
  </si>
  <si>
    <t>869.63033228072993</t>
  </si>
  <si>
    <t>01716</t>
  </si>
  <si>
    <t>Tali</t>
  </si>
  <si>
    <t>415.30808733106335</t>
  </si>
  <si>
    <t>01717</t>
  </si>
  <si>
    <t>Mipi ^^</t>
  </si>
  <si>
    <t>2104.0421717362156</t>
  </si>
  <si>
    <t>01718</t>
  </si>
  <si>
    <t>Anini</t>
  </si>
  <si>
    <t>1850.2883921164887</t>
  </si>
  <si>
    <t>01719</t>
  </si>
  <si>
    <t>Etalin ^^</t>
  </si>
  <si>
    <t>3921.3255112445945</t>
  </si>
  <si>
    <t>01720</t>
  </si>
  <si>
    <t>Anelih</t>
  </si>
  <si>
    <t>656.55909518641533</t>
  </si>
  <si>
    <t>01721</t>
  </si>
  <si>
    <t>Kronli (Arzoo circle)</t>
  </si>
  <si>
    <t>596.78482971628671</t>
  </si>
  <si>
    <t>01722</t>
  </si>
  <si>
    <t>Hunli</t>
  </si>
  <si>
    <t>1383</t>
  </si>
  <si>
    <t>519.52538866325506</t>
  </si>
  <si>
    <t>01723</t>
  </si>
  <si>
    <t>Desali</t>
  </si>
  <si>
    <t>972.33673443521411</t>
  </si>
  <si>
    <t>01724</t>
  </si>
  <si>
    <t>Roing</t>
  </si>
  <si>
    <t>913.32386542520896</t>
  </si>
  <si>
    <t>01725</t>
  </si>
  <si>
    <t>Dambuk</t>
  </si>
  <si>
    <t>1101.8313655524696</t>
  </si>
  <si>
    <t>01726</t>
  </si>
  <si>
    <t>Tinali ( Paglam )</t>
  </si>
  <si>
    <t>126.31251048911805</t>
  </si>
  <si>
    <t>01727</t>
  </si>
  <si>
    <t>Koronu</t>
  </si>
  <si>
    <t>266.66833805588385</t>
  </si>
  <si>
    <t>01728</t>
  </si>
  <si>
    <t>Sunpura</t>
  </si>
  <si>
    <t>685.9423304344441</t>
  </si>
  <si>
    <t>01729</t>
  </si>
  <si>
    <t>Tezu</t>
  </si>
  <si>
    <t>1139.1111976289778</t>
  </si>
  <si>
    <t>01730</t>
  </si>
  <si>
    <t>Wakro</t>
  </si>
  <si>
    <t>1765.6997191954488</t>
  </si>
  <si>
    <t>01731</t>
  </si>
  <si>
    <t>Chongkham</t>
  </si>
  <si>
    <t>995.53331938232736</t>
  </si>
  <si>
    <t>01732</t>
  </si>
  <si>
    <t>Namsai</t>
  </si>
  <si>
    <t>145.03635859276528</t>
  </si>
  <si>
    <t>01733</t>
  </si>
  <si>
    <t>Lathao</t>
  </si>
  <si>
    <t>108.73922163119704</t>
  </si>
  <si>
    <t>01734</t>
  </si>
  <si>
    <t>Piyong</t>
  </si>
  <si>
    <t>228.77849533533512</t>
  </si>
  <si>
    <t>01735</t>
  </si>
  <si>
    <t>Lekang (Mahadevpur)</t>
  </si>
  <si>
    <t>143.15935779950456</t>
  </si>
  <si>
    <t>260</t>
  </si>
  <si>
    <t>01736</t>
  </si>
  <si>
    <t>Hayuliang</t>
  </si>
  <si>
    <t>629.25760145061361</t>
  </si>
  <si>
    <t>01737</t>
  </si>
  <si>
    <t>Manchal</t>
  </si>
  <si>
    <t>516.11220429475657</t>
  </si>
  <si>
    <t>01738</t>
  </si>
  <si>
    <t>Goiliang</t>
  </si>
  <si>
    <t>603.05758801900572</t>
  </si>
  <si>
    <t>01739</t>
  </si>
  <si>
    <t>Chaglagam</t>
  </si>
  <si>
    <t>695.58385520726642</t>
  </si>
  <si>
    <t>01740</t>
  </si>
  <si>
    <t>Metengliang</t>
  </si>
  <si>
    <t>289.86298080959017</t>
  </si>
  <si>
    <t>01741</t>
  </si>
  <si>
    <t>Kibithoo</t>
  </si>
  <si>
    <t>607.77587683215518</t>
  </si>
  <si>
    <t>01742</t>
  </si>
  <si>
    <t>Walong</t>
  </si>
  <si>
    <t>1117.4861738385855</t>
  </si>
  <si>
    <t>01743</t>
  </si>
  <si>
    <t>Hawai</t>
  </si>
  <si>
    <t>1730.8637195480264</t>
  </si>
  <si>
    <t>01744</t>
  </si>
  <si>
    <t>Naginimora</t>
  </si>
  <si>
    <t>183.57307915929994</t>
  </si>
  <si>
    <t>01745</t>
  </si>
  <si>
    <t>Tizit</t>
  </si>
  <si>
    <t>171.55316123502396</t>
  </si>
  <si>
    <t>01746</t>
  </si>
  <si>
    <t>Hunta</t>
  </si>
  <si>
    <t>96.337840897147885</t>
  </si>
  <si>
    <t>01747</t>
  </si>
  <si>
    <t>Shangnyu</t>
  </si>
  <si>
    <t>84.200113248062962</t>
  </si>
  <si>
    <t>01748</t>
  </si>
  <si>
    <t>Mon Sadar</t>
  </si>
  <si>
    <t>290.08695791280599</t>
  </si>
  <si>
    <t>01749</t>
  </si>
  <si>
    <t>Wakching</t>
  </si>
  <si>
    <t>155.38111527907256</t>
  </si>
  <si>
    <t>01750</t>
  </si>
  <si>
    <t>Aboi</t>
  </si>
  <si>
    <t>104.61209639886495</t>
  </si>
  <si>
    <t>01751</t>
  </si>
  <si>
    <t>Longshen</t>
  </si>
  <si>
    <t>101.27709075136764</t>
  </si>
  <si>
    <t>01752</t>
  </si>
  <si>
    <t>Phomching</t>
  </si>
  <si>
    <t>87.243094416024292</t>
  </si>
  <si>
    <t>01753</t>
  </si>
  <si>
    <t>Chen</t>
  </si>
  <si>
    <t>133.73734692563607</t>
  </si>
  <si>
    <t>01754</t>
  </si>
  <si>
    <t>Angjangyang</t>
  </si>
  <si>
    <t>101.96384532659147</t>
  </si>
  <si>
    <t>01755</t>
  </si>
  <si>
    <t>Mopong</t>
  </si>
  <si>
    <t>59.700090632995376</t>
  </si>
  <si>
    <t>01756</t>
  </si>
  <si>
    <t>Tobu</t>
  </si>
  <si>
    <t>109.25546790086186</t>
  </si>
  <si>
    <t>01757</t>
  </si>
  <si>
    <t>Monyakshu</t>
  </si>
  <si>
    <t>107.07869991624491</t>
  </si>
  <si>
    <t>01758</t>
  </si>
  <si>
    <t>Longchem</t>
  </si>
  <si>
    <t>157.3630238939528</t>
  </si>
  <si>
    <t>01759</t>
  </si>
  <si>
    <t>Alongkima</t>
  </si>
  <si>
    <t>225.82346371035965</t>
  </si>
  <si>
    <t>01760</t>
  </si>
  <si>
    <t>Tuli</t>
  </si>
  <si>
    <t>176.92566874597745</t>
  </si>
  <si>
    <t>01761</t>
  </si>
  <si>
    <t>Changtongya</t>
  </si>
  <si>
    <t>113.68292937462142</t>
  </si>
  <si>
    <t>01762</t>
  </si>
  <si>
    <t>Chuchuyimlang</t>
  </si>
  <si>
    <t>165.28514196628493</t>
  </si>
  <si>
    <t>01763</t>
  </si>
  <si>
    <t>Kubolong</t>
  </si>
  <si>
    <t>116.4243728671517</t>
  </si>
  <si>
    <t>01764</t>
  </si>
  <si>
    <t>Mangkolemba</t>
  </si>
  <si>
    <t>232.66293482409205</t>
  </si>
  <si>
    <t>01765</t>
  </si>
  <si>
    <t>Merangmen *</t>
  </si>
  <si>
    <t>NA</t>
  </si>
  <si>
    <t>01766</t>
  </si>
  <si>
    <t>Ongpangkong</t>
  </si>
  <si>
    <t>426.83246461755994</t>
  </si>
  <si>
    <t>01767</t>
  </si>
  <si>
    <t>V.K.</t>
  </si>
  <si>
    <t>61.814096657107768</t>
  </si>
  <si>
    <t>01768</t>
  </si>
  <si>
    <t>Akuluto</t>
  </si>
  <si>
    <t>84.018126420943929</t>
  </si>
  <si>
    <t>01769</t>
  </si>
  <si>
    <t>Suruhuto</t>
  </si>
  <si>
    <t>108.17882827308239</t>
  </si>
  <si>
    <t>01770</t>
  </si>
  <si>
    <t>Asuto</t>
  </si>
  <si>
    <t>73.531556902496959</t>
  </si>
  <si>
    <t>01771</t>
  </si>
  <si>
    <t>Aghunato</t>
  </si>
  <si>
    <t>116.41369468133988</t>
  </si>
  <si>
    <t>01772</t>
  </si>
  <si>
    <t>Zunheboto Sadar</t>
  </si>
  <si>
    <t>129.0840529878615</t>
  </si>
  <si>
    <t>01773</t>
  </si>
  <si>
    <t>Atoizu</t>
  </si>
  <si>
    <t>82.608242154196589</t>
  </si>
  <si>
    <t>01774</t>
  </si>
  <si>
    <t>Akuhaito</t>
  </si>
  <si>
    <t>47.290671700056244</t>
  </si>
  <si>
    <t>01775</t>
  </si>
  <si>
    <t>Pughoboto</t>
  </si>
  <si>
    <t>118.661339204059</t>
  </si>
  <si>
    <t>01776</t>
  </si>
  <si>
    <t>Ghathashi</t>
  </si>
  <si>
    <t>140.05816534506704</t>
  </si>
  <si>
    <t>01777</t>
  </si>
  <si>
    <t>Satakha</t>
  </si>
  <si>
    <t>138.47472465936636</t>
  </si>
  <si>
    <t>01778</t>
  </si>
  <si>
    <t>Saptiqa</t>
  </si>
  <si>
    <t>1034</t>
  </si>
  <si>
    <t>61.424550863586482</t>
  </si>
  <si>
    <t>01779</t>
  </si>
  <si>
    <t>Satoi</t>
  </si>
  <si>
    <t>93.441950150836021</t>
  </si>
  <si>
    <t>01780</t>
  </si>
  <si>
    <t>Changpang</t>
  </si>
  <si>
    <t>188.70473946793052</t>
  </si>
  <si>
    <t>01781</t>
  </si>
  <si>
    <t>Aitepyong</t>
  </si>
  <si>
    <t>141.01324940849432</t>
  </si>
  <si>
    <t>01782</t>
  </si>
  <si>
    <t>Bhandari</t>
  </si>
  <si>
    <t>332.13116128193604</t>
  </si>
  <si>
    <t>01783</t>
  </si>
  <si>
    <t>Baghty</t>
  </si>
  <si>
    <t>552</t>
  </si>
  <si>
    <t>41.538543230629415</t>
  </si>
  <si>
    <t>01784</t>
  </si>
  <si>
    <t>Sungro</t>
  </si>
  <si>
    <t>100.6701175160907</t>
  </si>
  <si>
    <t>01785</t>
  </si>
  <si>
    <t>Sanis</t>
  </si>
  <si>
    <t>89.65800574275751</t>
  </si>
  <si>
    <t>01786</t>
  </si>
  <si>
    <t>Lotsu</t>
  </si>
  <si>
    <t>72.905311065285119</t>
  </si>
  <si>
    <t>01787</t>
  </si>
  <si>
    <t>Ralan</t>
  </si>
  <si>
    <t>66.77737916389485</t>
  </si>
  <si>
    <t>01788</t>
  </si>
  <si>
    <t>Wozhuro</t>
  </si>
  <si>
    <t>146.80224676485781</t>
  </si>
  <si>
    <t>01789</t>
  </si>
  <si>
    <t>Wokha Sadar</t>
  </si>
  <si>
    <t>265.7498966985159</t>
  </si>
  <si>
    <t>01790</t>
  </si>
  <si>
    <t>Englan</t>
  </si>
  <si>
    <t>74.120771715260901</t>
  </si>
  <si>
    <t>01791</t>
  </si>
  <si>
    <t>Chukitong</t>
  </si>
  <si>
    <t>107.92857794434696</t>
  </si>
  <si>
    <t>01792</t>
  </si>
  <si>
    <t>Niuland **</t>
  </si>
  <si>
    <t>01793</t>
  </si>
  <si>
    <t>Aquqhnaqua  **</t>
  </si>
  <si>
    <t>30.573259525506067</t>
  </si>
  <si>
    <t>01794</t>
  </si>
  <si>
    <t>Kuhoboto</t>
  </si>
  <si>
    <t>23.842194812479452</t>
  </si>
  <si>
    <t>01795</t>
  </si>
  <si>
    <t>Nihokhu</t>
  </si>
  <si>
    <t>1689</t>
  </si>
  <si>
    <t>69.996473838625278</t>
  </si>
  <si>
    <t>01796</t>
  </si>
  <si>
    <t>Dimapur Sadar</t>
  </si>
  <si>
    <t>31.458010051165314</t>
  </si>
  <si>
    <t>01797</t>
  </si>
  <si>
    <t>Chumukedima</t>
  </si>
  <si>
    <t>181.95959449946969</t>
  </si>
  <si>
    <t>01798</t>
  </si>
  <si>
    <t>Dhansiripar</t>
  </si>
  <si>
    <t>201.34224493686847</t>
  </si>
  <si>
    <t>01799</t>
  </si>
  <si>
    <t>Medziphema</t>
  </si>
  <si>
    <t>387.82822233588581</t>
  </si>
  <si>
    <t>01800</t>
  </si>
  <si>
    <t>Sekruzu</t>
  </si>
  <si>
    <t>99.78631652298742</t>
  </si>
  <si>
    <t>01801</t>
  </si>
  <si>
    <t>Phek Sadar</t>
  </si>
  <si>
    <t>327.24534544952678</t>
  </si>
  <si>
    <t>01802</t>
  </si>
  <si>
    <t>Khuza</t>
  </si>
  <si>
    <t>69.530668894674633</t>
  </si>
  <si>
    <t>01803</t>
  </si>
  <si>
    <t>Meluri</t>
  </si>
  <si>
    <t>392.04400282077927</t>
  </si>
  <si>
    <t>01804</t>
  </si>
  <si>
    <t>Phor</t>
  </si>
  <si>
    <t>138.70612328141704</t>
  </si>
  <si>
    <t>01805</t>
  </si>
  <si>
    <t>Phokhungri</t>
  </si>
  <si>
    <t>896</t>
  </si>
  <si>
    <t>450.2499943493242</t>
  </si>
  <si>
    <t>01806</t>
  </si>
  <si>
    <t>Chozuba</t>
  </si>
  <si>
    <t>75.531194586323949</t>
  </si>
  <si>
    <t>01807</t>
  </si>
  <si>
    <t>Chetheba</t>
  </si>
  <si>
    <t>94.571109942179461</t>
  </si>
  <si>
    <t>01808</t>
  </si>
  <si>
    <t>Sakraba</t>
  </si>
  <si>
    <t>75.586711568393312</t>
  </si>
  <si>
    <t>01809</t>
  </si>
  <si>
    <t>Pfutsero</t>
  </si>
  <si>
    <t>124.45156257983687</t>
  </si>
  <si>
    <t>01810</t>
  </si>
  <si>
    <t>Zuketsa</t>
  </si>
  <si>
    <t>40.870970384186712</t>
  </si>
  <si>
    <t>01811</t>
  </si>
  <si>
    <t>Khezhakeno</t>
  </si>
  <si>
    <t>18.294491120339458</t>
  </si>
  <si>
    <t>01812</t>
  </si>
  <si>
    <t>Chizami</t>
  </si>
  <si>
    <t>79.483379858167211</t>
  </si>
  <si>
    <t>01813</t>
  </si>
  <si>
    <t>Razieba</t>
  </si>
  <si>
    <t>39.648128641863337</t>
  </si>
  <si>
    <t>01814</t>
  </si>
  <si>
    <t>Noksen</t>
  </si>
  <si>
    <t>218.95831762939406</t>
  </si>
  <si>
    <t>01815</t>
  </si>
  <si>
    <t>Chare</t>
  </si>
  <si>
    <t>98.684580764618502</t>
  </si>
  <si>
    <t>01816</t>
  </si>
  <si>
    <t>Longkhim</t>
  </si>
  <si>
    <t>157.13651426355335</t>
  </si>
  <si>
    <t>01817</t>
  </si>
  <si>
    <t>Tuensang Sadar</t>
  </si>
  <si>
    <t>86.168192857346384</t>
  </si>
  <si>
    <t>01818</t>
  </si>
  <si>
    <t>Ngoungchung</t>
  </si>
  <si>
    <t>174.0557626383665</t>
  </si>
  <si>
    <t>01819</t>
  </si>
  <si>
    <t>Sangsangnyu</t>
  </si>
  <si>
    <t>130.4488029706429</t>
  </si>
  <si>
    <t>01820</t>
  </si>
  <si>
    <t>Sotokur</t>
  </si>
  <si>
    <t>143.18636068340567</t>
  </si>
  <si>
    <t>01821</t>
  </si>
  <si>
    <t>Noklak</t>
  </si>
  <si>
    <t>164.92359973006461</t>
  </si>
  <si>
    <t>01822</t>
  </si>
  <si>
    <t>Chingmei</t>
  </si>
  <si>
    <t>128.79024738000572</t>
  </si>
  <si>
    <t>01823</t>
  </si>
  <si>
    <t>Nokhu</t>
  </si>
  <si>
    <t>218.9385845542771</t>
  </si>
  <si>
    <t>01824</t>
  </si>
  <si>
    <t>Panso</t>
  </si>
  <si>
    <t>148.32668379482351</t>
  </si>
  <si>
    <t>01825</t>
  </si>
  <si>
    <t>Shamator</t>
  </si>
  <si>
    <t>192.71165911756094</t>
  </si>
  <si>
    <t>01826</t>
  </si>
  <si>
    <t>Tsurungto</t>
  </si>
  <si>
    <t>488</t>
  </si>
  <si>
    <t>46.8162986139873</t>
  </si>
  <si>
    <t>01827</t>
  </si>
  <si>
    <t>Chessore</t>
  </si>
  <si>
    <t>53.024619583442217</t>
  </si>
  <si>
    <t>01828</t>
  </si>
  <si>
    <t>Mangko</t>
  </si>
  <si>
    <t>82.465253989281692</t>
  </si>
  <si>
    <t>01829</t>
  </si>
  <si>
    <t>Thonoknyu</t>
  </si>
  <si>
    <t>491.36452142922928</t>
  </si>
  <si>
    <t>01830</t>
  </si>
  <si>
    <t>Tamlu</t>
  </si>
  <si>
    <t>56.031097298725555</t>
  </si>
  <si>
    <t>01831</t>
  </si>
  <si>
    <t>911</t>
  </si>
  <si>
    <t>70.396179611404904</t>
  </si>
  <si>
    <t>01832</t>
  </si>
  <si>
    <t>Yongnyah</t>
  </si>
  <si>
    <t>147.28430643107711</t>
  </si>
  <si>
    <t>01833</t>
  </si>
  <si>
    <t>Longleng</t>
  </si>
  <si>
    <t>153.62222570932781</t>
  </si>
  <si>
    <t>01834</t>
  </si>
  <si>
    <t>Sakshi</t>
  </si>
  <si>
    <t>134.66619094946458</t>
  </si>
  <si>
    <t>01835</t>
  </si>
  <si>
    <t>Seyochung</t>
  </si>
  <si>
    <t>150.73483097418142</t>
  </si>
  <si>
    <t>01836</t>
  </si>
  <si>
    <t>Amahator</t>
  </si>
  <si>
    <t>104.7123907314661</t>
  </si>
  <si>
    <t>01837</t>
  </si>
  <si>
    <t>Kiphire Sadar</t>
  </si>
  <si>
    <t>90.975846415606568</t>
  </si>
  <si>
    <t>01838</t>
  </si>
  <si>
    <t>Kiusam</t>
  </si>
  <si>
    <t>141.2437693764243</t>
  </si>
  <si>
    <t>01839</t>
  </si>
  <si>
    <t>Sitimi</t>
  </si>
  <si>
    <t>128.32242937189406</t>
  </si>
  <si>
    <t>01840</t>
  </si>
  <si>
    <t>Longmatra</t>
  </si>
  <si>
    <t>77.977812703885945</t>
  </si>
  <si>
    <t>01841</t>
  </si>
  <si>
    <t>Pungro</t>
  </si>
  <si>
    <t>304.35443498004651</t>
  </si>
  <si>
    <t>01842</t>
  </si>
  <si>
    <t>Khongsa</t>
  </si>
  <si>
    <t>131.67848544649507</t>
  </si>
  <si>
    <t>270</t>
  </si>
  <si>
    <t>01843</t>
  </si>
  <si>
    <t>Tseminyu</t>
  </si>
  <si>
    <t>255.97114094596762</t>
  </si>
  <si>
    <t>01844</t>
  </si>
  <si>
    <t>Tsogin</t>
  </si>
  <si>
    <t>84.934428366400923</t>
  </si>
  <si>
    <t>01845</t>
  </si>
  <si>
    <t>Chiephobozou</t>
  </si>
  <si>
    <t>313.76357972050226</t>
  </si>
  <si>
    <t>01846</t>
  </si>
  <si>
    <t>Botsa</t>
  </si>
  <si>
    <t>128.119099362377</t>
  </si>
  <si>
    <t>01847</t>
  </si>
  <si>
    <t>Kezocha</t>
  </si>
  <si>
    <t>133.92198162697159</t>
  </si>
  <si>
    <t>01848</t>
  </si>
  <si>
    <t>Jakhama</t>
  </si>
  <si>
    <t>147.64975703202606</t>
  </si>
  <si>
    <t>01849</t>
  </si>
  <si>
    <t>Kohima Sadar</t>
  </si>
  <si>
    <t>40.856308635456138</t>
  </si>
  <si>
    <t>01850</t>
  </si>
  <si>
    <t>Sechu-Zubza</t>
  </si>
  <si>
    <t>357.78370431029845</t>
  </si>
  <si>
    <t>01851</t>
  </si>
  <si>
    <t>Pedi (Ngwalwa)</t>
  </si>
  <si>
    <t>125.96564015363131</t>
  </si>
  <si>
    <t>01852</t>
  </si>
  <si>
    <t>Jalukie</t>
  </si>
  <si>
    <t>237.90488143426379</t>
  </si>
  <si>
    <t>01853</t>
  </si>
  <si>
    <t>Athibung</t>
  </si>
  <si>
    <t>397.74302015714488</t>
  </si>
  <si>
    <t>01854</t>
  </si>
  <si>
    <t>Kebai Khelma</t>
  </si>
  <si>
    <t>134.58004100247007</t>
  </si>
  <si>
    <t>01855</t>
  </si>
  <si>
    <t>Nsong</t>
  </si>
  <si>
    <t>144.8141093398381</t>
  </si>
  <si>
    <t>01856</t>
  </si>
  <si>
    <t>Tening</t>
  </si>
  <si>
    <t>348.94114530058516</t>
  </si>
  <si>
    <t>01857</t>
  </si>
  <si>
    <t>Peren</t>
  </si>
  <si>
    <t>261.05116261206661</t>
  </si>
  <si>
    <t>01858</t>
  </si>
  <si>
    <t>Mao-Maram</t>
  </si>
  <si>
    <t>1037</t>
  </si>
  <si>
    <t>01859</t>
  </si>
  <si>
    <t>Paomata</t>
  </si>
  <si>
    <t>01860</t>
  </si>
  <si>
    <t>Purul</t>
  </si>
  <si>
    <t>01861</t>
  </si>
  <si>
    <t>Sadar Hills West</t>
  </si>
  <si>
    <t>01862</t>
  </si>
  <si>
    <t>Saitu-Gamphazol</t>
  </si>
  <si>
    <t>01863</t>
  </si>
  <si>
    <t>Sadar Hills East</t>
  </si>
  <si>
    <t>01864</t>
  </si>
  <si>
    <t>Tamenglong West</t>
  </si>
  <si>
    <t>1263</t>
  </si>
  <si>
    <t>01865</t>
  </si>
  <si>
    <t>Tamenglong North</t>
  </si>
  <si>
    <t>1194</t>
  </si>
  <si>
    <t>01866</t>
  </si>
  <si>
    <t>Tamenglong</t>
  </si>
  <si>
    <t>858</t>
  </si>
  <si>
    <t>01867</t>
  </si>
  <si>
    <t>Nungba</t>
  </si>
  <si>
    <t>1076</t>
  </si>
  <si>
    <t>01868</t>
  </si>
  <si>
    <t>Tipaimukh</t>
  </si>
  <si>
    <t>01869</t>
  </si>
  <si>
    <t>Thanlon</t>
  </si>
  <si>
    <t>1063</t>
  </si>
  <si>
    <t>01870</t>
  </si>
  <si>
    <t>Churachandpur North</t>
  </si>
  <si>
    <t>01871</t>
  </si>
  <si>
    <t>Churachandpur</t>
  </si>
  <si>
    <t>590</t>
  </si>
  <si>
    <t>01872</t>
  </si>
  <si>
    <t>Singngat</t>
  </si>
  <si>
    <t>01873</t>
  </si>
  <si>
    <t>Nambol</t>
  </si>
  <si>
    <t>01874</t>
  </si>
  <si>
    <t>Bishnupur</t>
  </si>
  <si>
    <t>01875</t>
  </si>
  <si>
    <t>Moirang</t>
  </si>
  <si>
    <t>01876</t>
  </si>
  <si>
    <t>Lilong</t>
  </si>
  <si>
    <t>01877</t>
  </si>
  <si>
    <t>Thoubal</t>
  </si>
  <si>
    <t>01878</t>
  </si>
  <si>
    <t>Kakching</t>
  </si>
  <si>
    <t>01879</t>
  </si>
  <si>
    <t>Lamshang</t>
  </si>
  <si>
    <t>01880</t>
  </si>
  <si>
    <t>Patsoi</t>
  </si>
  <si>
    <t>01881</t>
  </si>
  <si>
    <t>Lamphelpat</t>
  </si>
  <si>
    <t>01882</t>
  </si>
  <si>
    <t>Wangoi</t>
  </si>
  <si>
    <t>01883</t>
  </si>
  <si>
    <t>Jiribam</t>
  </si>
  <si>
    <t>01884</t>
  </si>
  <si>
    <t>Sawombung</t>
  </si>
  <si>
    <t>01885</t>
  </si>
  <si>
    <t>Porompat</t>
  </si>
  <si>
    <t>01886</t>
  </si>
  <si>
    <t>Keirao Bitra</t>
  </si>
  <si>
    <t>01887</t>
  </si>
  <si>
    <t>Ukhrul North</t>
  </si>
  <si>
    <t>01888</t>
  </si>
  <si>
    <t>Ukhurl Central</t>
  </si>
  <si>
    <t>01889</t>
  </si>
  <si>
    <t>Kamjong-Chassad</t>
  </si>
  <si>
    <t>1104</t>
  </si>
  <si>
    <t>01890</t>
  </si>
  <si>
    <t>Phungyar-Phaisat</t>
  </si>
  <si>
    <t>01891</t>
  </si>
  <si>
    <t>Ukhrul South</t>
  </si>
  <si>
    <t>555</t>
  </si>
  <si>
    <t>01892</t>
  </si>
  <si>
    <t>Machi</t>
  </si>
  <si>
    <t>01893</t>
  </si>
  <si>
    <t>Tengnoupal</t>
  </si>
  <si>
    <t>01894</t>
  </si>
  <si>
    <t>Chandel</t>
  </si>
  <si>
    <t>01895</t>
  </si>
  <si>
    <t>Chakpikarong</t>
  </si>
  <si>
    <t>1413</t>
  </si>
  <si>
    <t>01896</t>
  </si>
  <si>
    <t>Zawlnuam</t>
  </si>
  <si>
    <t>1088.76</t>
  </si>
  <si>
    <t>01897</t>
  </si>
  <si>
    <t>West Phaileng</t>
  </si>
  <si>
    <t>999.57</t>
  </si>
  <si>
    <t>01898</t>
  </si>
  <si>
    <t>Reiek</t>
  </si>
  <si>
    <t>937.42</t>
  </si>
  <si>
    <t>01899</t>
  </si>
  <si>
    <t>'N' Thingdawl</t>
  </si>
  <si>
    <t>829.71</t>
  </si>
  <si>
    <t>01900</t>
  </si>
  <si>
    <t>Bilkhawthlir</t>
  </si>
  <si>
    <t>552.79999999999995</t>
  </si>
  <si>
    <t>01901</t>
  </si>
  <si>
    <t>Tlangnuam (Part)</t>
  </si>
  <si>
    <t>01902</t>
  </si>
  <si>
    <t>Darlawn</t>
  </si>
  <si>
    <t>1037.48</t>
  </si>
  <si>
    <t>01903</t>
  </si>
  <si>
    <t>Phullen</t>
  </si>
  <si>
    <t>515.15</t>
  </si>
  <si>
    <t>01904</t>
  </si>
  <si>
    <t>Aibawk</t>
  </si>
  <si>
    <t>616.88</t>
  </si>
  <si>
    <t>532.66999999999996</t>
  </si>
  <si>
    <t>01905</t>
  </si>
  <si>
    <t>Thingsulthliah (Part)</t>
  </si>
  <si>
    <t>874.13</t>
  </si>
  <si>
    <t>01906</t>
  </si>
  <si>
    <t>Ngopa</t>
  </si>
  <si>
    <t>733.26</t>
  </si>
  <si>
    <t>01907</t>
  </si>
  <si>
    <t>Khawzawl</t>
  </si>
  <si>
    <t>987.92</t>
  </si>
  <si>
    <t>01908</t>
  </si>
  <si>
    <t>Champhai</t>
  </si>
  <si>
    <t>758.67</t>
  </si>
  <si>
    <t>01909</t>
  </si>
  <si>
    <t>Khawbung</t>
  </si>
  <si>
    <t>705.98</t>
  </si>
  <si>
    <t>01911</t>
  </si>
  <si>
    <t>East Lungdar (Part)</t>
  </si>
  <si>
    <t>01910</t>
  </si>
  <si>
    <t>Serchhip</t>
  </si>
  <si>
    <t>798.6</t>
  </si>
  <si>
    <t>01912</t>
  </si>
  <si>
    <t>West Bunghmun</t>
  </si>
  <si>
    <t>1389.26</t>
  </si>
  <si>
    <t>01913</t>
  </si>
  <si>
    <t>Lungsen</t>
  </si>
  <si>
    <t>1046.29</t>
  </si>
  <si>
    <t>01914</t>
  </si>
  <si>
    <t>Lunglei</t>
  </si>
  <si>
    <t>1117.06</t>
  </si>
  <si>
    <t>01915</t>
  </si>
  <si>
    <t>Hnahthial</t>
  </si>
  <si>
    <t>985.39</t>
  </si>
  <si>
    <t>01916</t>
  </si>
  <si>
    <t>Chawngte</t>
  </si>
  <si>
    <t>686.35</t>
  </si>
  <si>
    <t>01917</t>
  </si>
  <si>
    <t>Lawngtlai</t>
  </si>
  <si>
    <t>770.84</t>
  </si>
  <si>
    <t>01918</t>
  </si>
  <si>
    <t>S' Bungtlang</t>
  </si>
  <si>
    <t>01919</t>
  </si>
  <si>
    <t>Sangau</t>
  </si>
  <si>
    <t>565.91</t>
  </si>
  <si>
    <t>01920</t>
  </si>
  <si>
    <t>Tuipang</t>
  </si>
  <si>
    <t>942.73</t>
  </si>
  <si>
    <t>01921</t>
  </si>
  <si>
    <t>Saiha</t>
  </si>
  <si>
    <t>457.17</t>
  </si>
  <si>
    <t>01922</t>
  </si>
  <si>
    <t>240.62</t>
  </si>
  <si>
    <t>01923</t>
  </si>
  <si>
    <t>Hezamara</t>
  </si>
  <si>
    <t>149.04</t>
  </si>
  <si>
    <t>708</t>
  </si>
  <si>
    <t>01924</t>
  </si>
  <si>
    <t>Padmabil</t>
  </si>
  <si>
    <t>121.43</t>
  </si>
  <si>
    <t>01925</t>
  </si>
  <si>
    <t>Khowai</t>
  </si>
  <si>
    <t>108.38</t>
  </si>
  <si>
    <t>01926</t>
  </si>
  <si>
    <t>Tulashikhar</t>
  </si>
  <si>
    <t>229.25</t>
  </si>
  <si>
    <t>01927</t>
  </si>
  <si>
    <t>108.32</t>
  </si>
  <si>
    <t>01928</t>
  </si>
  <si>
    <t>Teliamura</t>
  </si>
  <si>
    <t>01929</t>
  </si>
  <si>
    <t>Mungiakumi</t>
  </si>
  <si>
    <t>318.58</t>
  </si>
  <si>
    <t>01930</t>
  </si>
  <si>
    <t>Mandai</t>
  </si>
  <si>
    <t>179.8</t>
  </si>
  <si>
    <t>01931</t>
  </si>
  <si>
    <t>Jirania</t>
  </si>
  <si>
    <t>236.39</t>
  </si>
  <si>
    <t>01932</t>
  </si>
  <si>
    <t>Dukli</t>
  </si>
  <si>
    <t>107.92</t>
  </si>
  <si>
    <t>01933</t>
  </si>
  <si>
    <t>Jampuijala</t>
  </si>
  <si>
    <t>01934</t>
  </si>
  <si>
    <t>Bishalgarh</t>
  </si>
  <si>
    <t>313.3</t>
  </si>
  <si>
    <t>01935</t>
  </si>
  <si>
    <t>Boxanagar</t>
  </si>
  <si>
    <t>110.54</t>
  </si>
  <si>
    <t>01936</t>
  </si>
  <si>
    <t>Melaghar</t>
  </si>
  <si>
    <t>220.78</t>
  </si>
  <si>
    <t>01937</t>
  </si>
  <si>
    <t>Kathalia</t>
  </si>
  <si>
    <t>147.65</t>
  </si>
  <si>
    <t>99999</t>
  </si>
  <si>
    <t>Area not under any Sub-district</t>
  </si>
  <si>
    <t>709</t>
  </si>
  <si>
    <t>01938</t>
  </si>
  <si>
    <t>Killa</t>
  </si>
  <si>
    <t>201.95</t>
  </si>
  <si>
    <t>01939</t>
  </si>
  <si>
    <t>341.16</t>
  </si>
  <si>
    <t>01940</t>
  </si>
  <si>
    <t>Ompi</t>
  </si>
  <si>
    <t>285.89999999999998</t>
  </si>
  <si>
    <t>01941</t>
  </si>
  <si>
    <t>Matarbari</t>
  </si>
  <si>
    <t>337.55</t>
  </si>
  <si>
    <t>01942</t>
  </si>
  <si>
    <t>Kakraban</t>
  </si>
  <si>
    <t>116.69</t>
  </si>
  <si>
    <t>01943</t>
  </si>
  <si>
    <t>319.99</t>
  </si>
  <si>
    <t>01944</t>
  </si>
  <si>
    <t>Hrishyamukh</t>
  </si>
  <si>
    <t>182.32</t>
  </si>
  <si>
    <t>01945</t>
  </si>
  <si>
    <t>Bokafa</t>
  </si>
  <si>
    <t>485.06</t>
  </si>
  <si>
    <t>01946</t>
  </si>
  <si>
    <t>Karbuk</t>
  </si>
  <si>
    <t>183.6</t>
  </si>
  <si>
    <t>01947</t>
  </si>
  <si>
    <t>Rupaichhari</t>
  </si>
  <si>
    <t>256.8</t>
  </si>
  <si>
    <t>01948</t>
  </si>
  <si>
    <t>Satchand</t>
  </si>
  <si>
    <t>296.06</t>
  </si>
  <si>
    <t>49.95000000000001</t>
  </si>
  <si>
    <t>01949</t>
  </si>
  <si>
    <t>Salema</t>
  </si>
  <si>
    <t>364.2</t>
  </si>
  <si>
    <t>01950</t>
  </si>
  <si>
    <t>Manu</t>
  </si>
  <si>
    <t>278.27999999999997</t>
  </si>
  <si>
    <t>01951</t>
  </si>
  <si>
    <t>Ambassa</t>
  </si>
  <si>
    <t>533.33000000000004</t>
  </si>
  <si>
    <t>01952</t>
  </si>
  <si>
    <t>Chhamanu</t>
  </si>
  <si>
    <t>562.5</t>
  </si>
  <si>
    <t>01953</t>
  </si>
  <si>
    <t>Dumburnagar</t>
  </si>
  <si>
    <t>636.76</t>
  </si>
  <si>
    <t>24.93</t>
  </si>
  <si>
    <t>01954</t>
  </si>
  <si>
    <t>Gournagar</t>
  </si>
  <si>
    <t>232.9</t>
  </si>
  <si>
    <t>01955</t>
  </si>
  <si>
    <t>Kadamtala</t>
  </si>
  <si>
    <t>151.41</t>
  </si>
  <si>
    <t>01956</t>
  </si>
  <si>
    <t>Panisagar</t>
  </si>
  <si>
    <t>237.9</t>
  </si>
  <si>
    <t>01957</t>
  </si>
  <si>
    <t>Damchhara</t>
  </si>
  <si>
    <t>189.9</t>
  </si>
  <si>
    <t>01958</t>
  </si>
  <si>
    <t>Pencharthal</t>
  </si>
  <si>
    <t>150.80000000000001</t>
  </si>
  <si>
    <t>01959</t>
  </si>
  <si>
    <t>Kumarghat</t>
  </si>
  <si>
    <t>203.82</t>
  </si>
  <si>
    <t>01960</t>
  </si>
  <si>
    <t>Dasda</t>
  </si>
  <si>
    <t>707.3</t>
  </si>
  <si>
    <t>01961</t>
  </si>
  <si>
    <t>Jampuii hills</t>
  </si>
  <si>
    <t>169.3</t>
  </si>
  <si>
    <t>20.38</t>
  </si>
  <si>
    <t>01962</t>
  </si>
  <si>
    <t>Selsella</t>
  </si>
  <si>
    <t>535</t>
  </si>
  <si>
    <t>01963</t>
  </si>
  <si>
    <t>Dadenggiri</t>
  </si>
  <si>
    <t>01964</t>
  </si>
  <si>
    <t>Tikrikilla</t>
  </si>
  <si>
    <t>01965</t>
  </si>
  <si>
    <t>Rongram</t>
  </si>
  <si>
    <t>01966</t>
  </si>
  <si>
    <t>Betasing</t>
  </si>
  <si>
    <t>01967</t>
  </si>
  <si>
    <t>Zikzak</t>
  </si>
  <si>
    <t>321.98</t>
  </si>
  <si>
    <t>01968</t>
  </si>
  <si>
    <t>Gambegre</t>
  </si>
  <si>
    <t>01969</t>
  </si>
  <si>
    <t>Dalu</t>
  </si>
  <si>
    <t>599.02</t>
  </si>
  <si>
    <t>01970</t>
  </si>
  <si>
    <t>Resubelpara</t>
  </si>
  <si>
    <t>01971</t>
  </si>
  <si>
    <t>Dambo Rongjeng</t>
  </si>
  <si>
    <t>01972</t>
  </si>
  <si>
    <t>Kharkutta</t>
  </si>
  <si>
    <t>01973</t>
  </si>
  <si>
    <t>Songsak</t>
  </si>
  <si>
    <t>703</t>
  </si>
  <si>
    <t>01974</t>
  </si>
  <si>
    <t>Samanda</t>
  </si>
  <si>
    <t>01975</t>
  </si>
  <si>
    <t>Chokpot</t>
  </si>
  <si>
    <t>01976</t>
  </si>
  <si>
    <t>Gasuapara</t>
  </si>
  <si>
    <t>01977</t>
  </si>
  <si>
    <t>Baghmara</t>
  </si>
  <si>
    <t>01978</t>
  </si>
  <si>
    <t>Rongara</t>
  </si>
  <si>
    <t>587</t>
  </si>
  <si>
    <t>01979</t>
  </si>
  <si>
    <t>Mawshynrut</t>
  </si>
  <si>
    <t>01980</t>
  </si>
  <si>
    <t>Nongstoin</t>
  </si>
  <si>
    <t>940.45</t>
  </si>
  <si>
    <t>01981</t>
  </si>
  <si>
    <t>Mawthadraishan</t>
  </si>
  <si>
    <t>479.48</t>
  </si>
  <si>
    <t>01982</t>
  </si>
  <si>
    <t>Mairang</t>
  </si>
  <si>
    <t>877.29</t>
  </si>
  <si>
    <t>01983</t>
  </si>
  <si>
    <t>Ranikor</t>
  </si>
  <si>
    <t>695</t>
  </si>
  <si>
    <t>01984</t>
  </si>
  <si>
    <t>Mawkyrwat</t>
  </si>
  <si>
    <t>640.78</t>
  </si>
  <si>
    <t>01985</t>
  </si>
  <si>
    <t>Umling</t>
  </si>
  <si>
    <t>599.63</t>
  </si>
  <si>
    <t>01986</t>
  </si>
  <si>
    <t>Jirang</t>
  </si>
  <si>
    <t>659.4</t>
  </si>
  <si>
    <t>01987</t>
  </si>
  <si>
    <t>Umsning</t>
  </si>
  <si>
    <t>1188.97</t>
  </si>
  <si>
    <t>01988</t>
  </si>
  <si>
    <t>Mawphlang</t>
  </si>
  <si>
    <t>301.52999999999997</t>
  </si>
  <si>
    <t>01989</t>
  </si>
  <si>
    <t>Mylliem</t>
  </si>
  <si>
    <t>215.33</t>
  </si>
  <si>
    <t>01990</t>
  </si>
  <si>
    <t>Mawryngkneng</t>
  </si>
  <si>
    <t>285.52</t>
  </si>
  <si>
    <t>01991</t>
  </si>
  <si>
    <t>Mawkynrew</t>
  </si>
  <si>
    <t>345.94</t>
  </si>
  <si>
    <t>01992</t>
  </si>
  <si>
    <t>Khatarshnong Laitkroh</t>
  </si>
  <si>
    <t>323.94</t>
  </si>
  <si>
    <t>01993</t>
  </si>
  <si>
    <t>Mawsynram</t>
  </si>
  <si>
    <t>509.64</t>
  </si>
  <si>
    <t>01994</t>
  </si>
  <si>
    <t>Shella Bholaganj</t>
  </si>
  <si>
    <t>351.99</t>
  </si>
  <si>
    <t>01995</t>
  </si>
  <si>
    <t>Pynursla</t>
  </si>
  <si>
    <t>414.11</t>
  </si>
  <si>
    <t>01996</t>
  </si>
  <si>
    <t>Thadlaskein</t>
  </si>
  <si>
    <t>904.6</t>
  </si>
  <si>
    <t>01997</t>
  </si>
  <si>
    <t>Laskein</t>
  </si>
  <si>
    <t>390.4</t>
  </si>
  <si>
    <t>01998</t>
  </si>
  <si>
    <t>Amlarem</t>
  </si>
  <si>
    <t>01999</t>
  </si>
  <si>
    <t>Khliehriat</t>
  </si>
  <si>
    <t>1280</t>
  </si>
  <si>
    <t>02000</t>
  </si>
  <si>
    <t>Saipung</t>
  </si>
  <si>
    <t>02001</t>
  </si>
  <si>
    <t>Gossaigaon (Pt)</t>
  </si>
  <si>
    <t>1122.484512147131</t>
  </si>
  <si>
    <t>02002</t>
  </si>
  <si>
    <t>Bhowraguri</t>
  </si>
  <si>
    <t>167.01993005343382</t>
  </si>
  <si>
    <t>02003</t>
  </si>
  <si>
    <t>Dotoma</t>
  </si>
  <si>
    <t>280.46174767088308</t>
  </si>
  <si>
    <t>02004</t>
  </si>
  <si>
    <t>Kokrajhar (Pt)</t>
  </si>
  <si>
    <t>1081.7850285411021</t>
  </si>
  <si>
    <t>02007</t>
  </si>
  <si>
    <t>Golokganj (Pt)</t>
  </si>
  <si>
    <t>90.594444891489502</t>
  </si>
  <si>
    <t>02008</t>
  </si>
  <si>
    <t>Dhubri (Pt)</t>
  </si>
  <si>
    <t>130.38817984219548</t>
  </si>
  <si>
    <t>02005</t>
  </si>
  <si>
    <t>Bagribari (Pt)</t>
  </si>
  <si>
    <t>294.18422469456863</t>
  </si>
  <si>
    <t>02009</t>
  </si>
  <si>
    <t>Bilasipara (Pt)</t>
  </si>
  <si>
    <t>22.449494563977048</t>
  </si>
  <si>
    <t>02010</t>
  </si>
  <si>
    <t>Chapar (Pt)</t>
  </si>
  <si>
    <t>106.63243759521885</t>
  </si>
  <si>
    <t>74.571314952808407</t>
  </si>
  <si>
    <t>02006</t>
  </si>
  <si>
    <t>Agamoni</t>
  </si>
  <si>
    <t>214.23544377675111</t>
  </si>
  <si>
    <t>209.54012519418265</t>
  </si>
  <si>
    <t>347.35856860862344</t>
  </si>
  <si>
    <t>207.19867937269206</t>
  </si>
  <si>
    <t>267.49630621560078</t>
  </si>
  <si>
    <t>190.21415731978553</t>
  </si>
  <si>
    <t>02011</t>
  </si>
  <si>
    <t>South Salmara</t>
  </si>
  <si>
    <t>423.60184973778058</t>
  </si>
  <si>
    <t>02012</t>
  </si>
  <si>
    <t>Mankachar</t>
  </si>
  <si>
    <t>241.78355482177571</t>
  </si>
  <si>
    <t>02013</t>
  </si>
  <si>
    <t>Lakhipur</t>
  </si>
  <si>
    <t>447.37150852285504</t>
  </si>
  <si>
    <t>02014</t>
  </si>
  <si>
    <t>Balijana</t>
  </si>
  <si>
    <t>498.45330200892425</t>
  </si>
  <si>
    <t>02015</t>
  </si>
  <si>
    <t>Matia</t>
  </si>
  <si>
    <t>440.62057759195972</t>
  </si>
  <si>
    <t>02016</t>
  </si>
  <si>
    <t>Dudhnai</t>
  </si>
  <si>
    <t>181.2508160234776</t>
  </si>
  <si>
    <t>02017</t>
  </si>
  <si>
    <t>Rangjuli</t>
  </si>
  <si>
    <t>256.30379585278348</t>
  </si>
  <si>
    <t>02018</t>
  </si>
  <si>
    <t>Barnagar (Pt)</t>
  </si>
  <si>
    <t>221.5593019728565</t>
  </si>
  <si>
    <t>02019</t>
  </si>
  <si>
    <t>Kalgachia</t>
  </si>
  <si>
    <t>267.24205443410318</t>
  </si>
  <si>
    <t>02020</t>
  </si>
  <si>
    <t>Baghbor</t>
  </si>
  <si>
    <t>480.75893813370891</t>
  </si>
  <si>
    <t>02021</t>
  </si>
  <si>
    <t>Chenga</t>
  </si>
  <si>
    <t>308.52631332349506</t>
  </si>
  <si>
    <t>02022</t>
  </si>
  <si>
    <t>Barpeta</t>
  </si>
  <si>
    <t>324.22878911723387</t>
  </si>
  <si>
    <t>02023</t>
  </si>
  <si>
    <t>Sarthebari</t>
  </si>
  <si>
    <t>262.61749374153663</t>
  </si>
  <si>
    <t>02024</t>
  </si>
  <si>
    <t>Bajali (Pt)</t>
  </si>
  <si>
    <t>157.91830489543955</t>
  </si>
  <si>
    <t>02025</t>
  </si>
  <si>
    <t>Sarupeta (Pt)</t>
  </si>
  <si>
    <t>235.63525269935749</t>
  </si>
  <si>
    <t>02140</t>
  </si>
  <si>
    <t>Jalah (Pt)</t>
  </si>
  <si>
    <t>23.513551682268709</t>
  </si>
  <si>
    <t>02026</t>
  </si>
  <si>
    <t>Mayong</t>
  </si>
  <si>
    <t>503.23271171225167</t>
  </si>
  <si>
    <t>02027</t>
  </si>
  <si>
    <t>Bhuragaon</t>
  </si>
  <si>
    <t>237.15282405893657</t>
  </si>
  <si>
    <t>02028</t>
  </si>
  <si>
    <t>Laharighat</t>
  </si>
  <si>
    <t>228.60678170876065</t>
  </si>
  <si>
    <t>02029</t>
  </si>
  <si>
    <t>Marigaon</t>
  </si>
  <si>
    <t>395.33032263731383</t>
  </si>
  <si>
    <t>02030</t>
  </si>
  <si>
    <t>Mikirbheta</t>
  </si>
  <si>
    <t>186.67735988273731</t>
  </si>
  <si>
    <t>02031</t>
  </si>
  <si>
    <t>Kaliabor</t>
  </si>
  <si>
    <t>567.25881926208331</t>
  </si>
  <si>
    <t>02032</t>
  </si>
  <si>
    <t>Samaguri</t>
  </si>
  <si>
    <t>348.95898274034545</t>
  </si>
  <si>
    <t>02033</t>
  </si>
  <si>
    <t>Rupahi</t>
  </si>
  <si>
    <t>295.80996457962442</t>
  </si>
  <si>
    <t>02034</t>
  </si>
  <si>
    <t>Dhing</t>
  </si>
  <si>
    <t>278.46753636271416</t>
  </si>
  <si>
    <t>02035</t>
  </si>
  <si>
    <t>Nagaon</t>
  </si>
  <si>
    <t>362.48786509091667</t>
  </si>
  <si>
    <t>02036</t>
  </si>
  <si>
    <t>Raha</t>
  </si>
  <si>
    <t>331.70551953631031</t>
  </si>
  <si>
    <t>02037</t>
  </si>
  <si>
    <t>Kampur</t>
  </si>
  <si>
    <t>365.50669638008407</t>
  </si>
  <si>
    <t>02038</t>
  </si>
  <si>
    <t>Hojai</t>
  </si>
  <si>
    <t>258.20911445996416</t>
  </si>
  <si>
    <t>02039</t>
  </si>
  <si>
    <t>Doboka</t>
  </si>
  <si>
    <t>310.17745183255136</t>
  </si>
  <si>
    <t>02040</t>
  </si>
  <si>
    <t>Lanka</t>
  </si>
  <si>
    <t>854.41804975540629</t>
  </si>
  <si>
    <t>02041</t>
  </si>
  <si>
    <t>Dhekiajuli (Pt)</t>
  </si>
  <si>
    <t>1191.7296713437022</t>
  </si>
  <si>
    <t>02042</t>
  </si>
  <si>
    <t>Chariduar</t>
  </si>
  <si>
    <t>1000.3343818325544</t>
  </si>
  <si>
    <t>02043</t>
  </si>
  <si>
    <t>Tezpur</t>
  </si>
  <si>
    <t>546.69402542259331</t>
  </si>
  <si>
    <t>02044</t>
  </si>
  <si>
    <t>Na-Duar</t>
  </si>
  <si>
    <t>670.21088270127836</t>
  </si>
  <si>
    <t>02045</t>
  </si>
  <si>
    <t>Biswanath</t>
  </si>
  <si>
    <t>1043.7841003064495</t>
  </si>
  <si>
    <t>02046</t>
  </si>
  <si>
    <t>Helem</t>
  </si>
  <si>
    <t>435.70601082880444</t>
  </si>
  <si>
    <t>02047</t>
  </si>
  <si>
    <t>Gohpur</t>
  </si>
  <si>
    <t>315.54092756461796</t>
  </si>
  <si>
    <t>02048</t>
  </si>
  <si>
    <t>294.0226991986537</t>
  </si>
  <si>
    <t>02049</t>
  </si>
  <si>
    <t>Bihpuria</t>
  </si>
  <si>
    <t>314.87720225832459</t>
  </si>
  <si>
    <t>02050</t>
  </si>
  <si>
    <t>Naobaicha</t>
  </si>
  <si>
    <t>255.22866530574973</t>
  </si>
  <si>
    <t>02051</t>
  </si>
  <si>
    <t>Kadam</t>
  </si>
  <si>
    <t>405.66520919507991</t>
  </si>
  <si>
    <t>02052</t>
  </si>
  <si>
    <t>North Lakhimpur</t>
  </si>
  <si>
    <t>477.08016207586292</t>
  </si>
  <si>
    <t>02053</t>
  </si>
  <si>
    <t>Dhakuakhana (Pt)</t>
  </si>
  <si>
    <t>313.00735086593181</t>
  </si>
  <si>
    <t>02054</t>
  </si>
  <si>
    <t>Subansiri (Pt)</t>
  </si>
  <si>
    <t>217.11871110039735</t>
  </si>
  <si>
    <t>02055</t>
  </si>
  <si>
    <t>Dhemaji</t>
  </si>
  <si>
    <t>503.20216962062034</t>
  </si>
  <si>
    <t>02056</t>
  </si>
  <si>
    <t>Sissibargaon</t>
  </si>
  <si>
    <t>949.73977995145469</t>
  </si>
  <si>
    <t>02057</t>
  </si>
  <si>
    <t>Jonai</t>
  </si>
  <si>
    <t>1089.2749010915863</t>
  </si>
  <si>
    <t>87.426571143825328</t>
  </si>
  <si>
    <t>234.52979936306104</t>
  </si>
  <si>
    <t>02058</t>
  </si>
  <si>
    <t>Gogamukh</t>
  </si>
  <si>
    <t>372.82677882945183</t>
  </si>
  <si>
    <t>02059</t>
  </si>
  <si>
    <t>Sadiya</t>
  </si>
  <si>
    <t>787.56454859252437</t>
  </si>
  <si>
    <t>02060</t>
  </si>
  <si>
    <t>Doom Dooma</t>
  </si>
  <si>
    <t>970.41019108368482</t>
  </si>
  <si>
    <t>02061</t>
  </si>
  <si>
    <t>Tinsukia</t>
  </si>
  <si>
    <t>852.74389562150282</t>
  </si>
  <si>
    <t>02062</t>
  </si>
  <si>
    <t>Margherita</t>
  </si>
  <si>
    <t>314</t>
  </si>
  <si>
    <t>1179.2813647022879</t>
  </si>
  <si>
    <t>02063</t>
  </si>
  <si>
    <t>Dibrugarh West</t>
  </si>
  <si>
    <t>716.40501551151772</t>
  </si>
  <si>
    <t>02064</t>
  </si>
  <si>
    <t>Dibrugarh East</t>
  </si>
  <si>
    <t>378.08180122816771</t>
  </si>
  <si>
    <t>02065</t>
  </si>
  <si>
    <t>Chabua</t>
  </si>
  <si>
    <t>658.87879527284031</t>
  </si>
  <si>
    <t>02066</t>
  </si>
  <si>
    <t>Tengakhat</t>
  </si>
  <si>
    <t>356.59658547829525</t>
  </si>
  <si>
    <t>02067</t>
  </si>
  <si>
    <t>Moran</t>
  </si>
  <si>
    <t>413.34202014465194</t>
  </si>
  <si>
    <t>02068</t>
  </si>
  <si>
    <t>Tingkhong</t>
  </si>
  <si>
    <t>391.81148200645731</t>
  </si>
  <si>
    <t>02069</t>
  </si>
  <si>
    <t>Naharkatiya</t>
  </si>
  <si>
    <t>465.88430035806971</t>
  </si>
  <si>
    <t>02070</t>
  </si>
  <si>
    <t>Dimow</t>
  </si>
  <si>
    <t>482.70961699156754</t>
  </si>
  <si>
    <t>02071</t>
  </si>
  <si>
    <t>Sibsagar</t>
  </si>
  <si>
    <t>391.13123445248664</t>
  </si>
  <si>
    <t>02072</t>
  </si>
  <si>
    <t>Amguri</t>
  </si>
  <si>
    <t>317.46975824263313</t>
  </si>
  <si>
    <t>02073</t>
  </si>
  <si>
    <t>Nazira</t>
  </si>
  <si>
    <t>389.99341425243455</t>
  </si>
  <si>
    <t>02074</t>
  </si>
  <si>
    <t>Sonari</t>
  </si>
  <si>
    <t>788.86827728333049</t>
  </si>
  <si>
    <t>02075</t>
  </si>
  <si>
    <t>Mahmora</t>
  </si>
  <si>
    <t>297.82769877754771</t>
  </si>
  <si>
    <t>02076</t>
  </si>
  <si>
    <t>Majuli</t>
  </si>
  <si>
    <t>1093.313232902382</t>
  </si>
  <si>
    <t>02077</t>
  </si>
  <si>
    <t>Jorhat West</t>
  </si>
  <si>
    <t>382.9713343786072</t>
  </si>
  <si>
    <t>02078</t>
  </si>
  <si>
    <t>Jorhat East</t>
  </si>
  <si>
    <t>158.11066406463206</t>
  </si>
  <si>
    <t>02079</t>
  </si>
  <si>
    <t>Teok</t>
  </si>
  <si>
    <t>419.15438122265766</t>
  </si>
  <si>
    <t>02080</t>
  </si>
  <si>
    <t>Titabor</t>
  </si>
  <si>
    <t>390.29337730982508</t>
  </si>
  <si>
    <t>02081</t>
  </si>
  <si>
    <t>Mariani</t>
  </si>
  <si>
    <t>407.15701012189595</t>
  </si>
  <si>
    <t>313</t>
  </si>
  <si>
    <t>02082</t>
  </si>
  <si>
    <t>Bokakhat</t>
  </si>
  <si>
    <t>901.70286968015648</t>
  </si>
  <si>
    <t>02083</t>
  </si>
  <si>
    <t>Khumtai</t>
  </si>
  <si>
    <t>340.74623778085936</t>
  </si>
  <si>
    <t>02084</t>
  </si>
  <si>
    <t>Dergaon</t>
  </si>
  <si>
    <t>342.88654328921757</t>
  </si>
  <si>
    <t>02085</t>
  </si>
  <si>
    <t>Golaghat</t>
  </si>
  <si>
    <t>624.30278593974504</t>
  </si>
  <si>
    <t>02086</t>
  </si>
  <si>
    <t>Morangi</t>
  </si>
  <si>
    <t>375.22578733677824</t>
  </si>
  <si>
    <t>02087</t>
  </si>
  <si>
    <t>Sarupathar</t>
  </si>
  <si>
    <t>917.13577597324377</t>
  </si>
  <si>
    <t>02088</t>
  </si>
  <si>
    <t>Donka</t>
  </si>
  <si>
    <t>3067.8137293804089</t>
  </si>
  <si>
    <t>02089</t>
  </si>
  <si>
    <t>Diphu</t>
  </si>
  <si>
    <t>2723.0260595868517</t>
  </si>
  <si>
    <t>02090</t>
  </si>
  <si>
    <t>Phuloni</t>
  </si>
  <si>
    <t>2787.0046705657719</t>
  </si>
  <si>
    <t>02091</t>
  </si>
  <si>
    <t>Silonijan</t>
  </si>
  <si>
    <t>1856.1555404669664</t>
  </si>
  <si>
    <t>02092</t>
  </si>
  <si>
    <t>Umrangso</t>
  </si>
  <si>
    <t>1199.3846579378117</t>
  </si>
  <si>
    <t>02093</t>
  </si>
  <si>
    <t>Haflong</t>
  </si>
  <si>
    <t>1349.4591119317793</t>
  </si>
  <si>
    <t>02094</t>
  </si>
  <si>
    <t>Mahur</t>
  </si>
  <si>
    <t>713.11472536527299</t>
  </si>
  <si>
    <t>02095</t>
  </si>
  <si>
    <t>Maibong</t>
  </si>
  <si>
    <t>1626.0415047651356</t>
  </si>
  <si>
    <t>02096</t>
  </si>
  <si>
    <t>Katigora</t>
  </si>
  <si>
    <t>733.22072473648257</t>
  </si>
  <si>
    <t>02097</t>
  </si>
  <si>
    <t>Silchar</t>
  </si>
  <si>
    <t>870.96138402155646</t>
  </si>
  <si>
    <t>02098</t>
  </si>
  <si>
    <t>Udarbond</t>
  </si>
  <si>
    <t>445.0082217918864</t>
  </si>
  <si>
    <t>02099</t>
  </si>
  <si>
    <t>Sonai</t>
  </si>
  <si>
    <t>855.13890404205142</t>
  </si>
  <si>
    <t>02100</t>
  </si>
  <si>
    <t>881.67076540802304</t>
  </si>
  <si>
    <t>317</t>
  </si>
  <si>
    <t>02101</t>
  </si>
  <si>
    <t>Karimganj</t>
  </si>
  <si>
    <t>174.72309557784985</t>
  </si>
  <si>
    <t>02102</t>
  </si>
  <si>
    <t>Badarpur</t>
  </si>
  <si>
    <t>142.92598328415261</t>
  </si>
  <si>
    <t>02103</t>
  </si>
  <si>
    <t>Nilambazar</t>
  </si>
  <si>
    <t>311.24227195582273</t>
  </si>
  <si>
    <t>02104</t>
  </si>
  <si>
    <t>Patharkandi</t>
  </si>
  <si>
    <t>537.24833380146777</t>
  </si>
  <si>
    <t>02105</t>
  </si>
  <si>
    <t>Ramkrishna Nagar</t>
  </si>
  <si>
    <t>642.86031538070711</t>
  </si>
  <si>
    <t>02106</t>
  </si>
  <si>
    <t>Algapur</t>
  </si>
  <si>
    <t>147.01907665123599</t>
  </si>
  <si>
    <t>02107</t>
  </si>
  <si>
    <t>Hailakandi</t>
  </si>
  <si>
    <t>170.82936291933612</t>
  </si>
  <si>
    <t>02108</t>
  </si>
  <si>
    <t>Lala</t>
  </si>
  <si>
    <t>335.53891256833458</t>
  </si>
  <si>
    <t>02109</t>
  </si>
  <si>
    <t>Katlichara</t>
  </si>
  <si>
    <t>673.61264786109325</t>
  </si>
  <si>
    <t>02110</t>
  </si>
  <si>
    <t>Bongaigaon (Pt)</t>
  </si>
  <si>
    <t>204.58289725083779</t>
  </si>
  <si>
    <t>02111</t>
  </si>
  <si>
    <t>Boitamari</t>
  </si>
  <si>
    <t>300.93563238751642</t>
  </si>
  <si>
    <t>02112</t>
  </si>
  <si>
    <t>Srijangram</t>
  </si>
  <si>
    <t>352.5500641013233</t>
  </si>
  <si>
    <t>02115</t>
  </si>
  <si>
    <t>Bijni (Pt)</t>
  </si>
  <si>
    <t>171.47608370901699</t>
  </si>
  <si>
    <t>02114</t>
  </si>
  <si>
    <t>Sidli (Pt)</t>
  </si>
  <si>
    <t>63.455322551305663</t>
  </si>
  <si>
    <t>19.844950166544553</t>
  </si>
  <si>
    <t>02113</t>
  </si>
  <si>
    <t>Bengtol</t>
  </si>
  <si>
    <t>663.02098971683517</t>
  </si>
  <si>
    <t>270.93122372100862</t>
  </si>
  <si>
    <t>9.5580619176554915</t>
  </si>
  <si>
    <t>912.88337681598284</t>
  </si>
  <si>
    <t>46.75701129951905</t>
  </si>
  <si>
    <t>02141</t>
  </si>
  <si>
    <t>Goreswar (Pt)</t>
  </si>
  <si>
    <t>54.345534314453545</t>
  </si>
  <si>
    <t>02116</t>
  </si>
  <si>
    <t>Rangia (Pt)</t>
  </si>
  <si>
    <t>185.57570862936942</t>
  </si>
  <si>
    <t>02117</t>
  </si>
  <si>
    <t>Koya</t>
  </si>
  <si>
    <t>53.733887024223549</t>
  </si>
  <si>
    <t>02118</t>
  </si>
  <si>
    <t>Kamalpur</t>
  </si>
  <si>
    <t>251.06189349028224</t>
  </si>
  <si>
    <t>02119</t>
  </si>
  <si>
    <t>Hajo</t>
  </si>
  <si>
    <t>413.75323654884551</t>
  </si>
  <si>
    <t>02120</t>
  </si>
  <si>
    <t>Chhaygaon</t>
  </si>
  <si>
    <t>471.1433754572484</t>
  </si>
  <si>
    <t>02121</t>
  </si>
  <si>
    <t>Goroimari</t>
  </si>
  <si>
    <t>176.57932736041772</t>
  </si>
  <si>
    <t>02122</t>
  </si>
  <si>
    <t>Chamaria</t>
  </si>
  <si>
    <t>140.0309509908727</t>
  </si>
  <si>
    <t>02123</t>
  </si>
  <si>
    <t>Nagarbera</t>
  </si>
  <si>
    <t>114.39217126927232</t>
  </si>
  <si>
    <t>02124</t>
  </si>
  <si>
    <t>Boko</t>
  </si>
  <si>
    <t>513.82681663182211</t>
  </si>
  <si>
    <t>02125</t>
  </si>
  <si>
    <t>Palasbari</t>
  </si>
  <si>
    <t>639.49498038691297</t>
  </si>
  <si>
    <t>02126</t>
  </si>
  <si>
    <t>North Guwahati (Pt)</t>
  </si>
  <si>
    <t>91.062117896278835</t>
  </si>
  <si>
    <t>02127</t>
  </si>
  <si>
    <t>Azara</t>
  </si>
  <si>
    <t>141.5553706715734</t>
  </si>
  <si>
    <t>33.641990670880638</t>
  </si>
  <si>
    <t>02128</t>
  </si>
  <si>
    <t>Guwahati</t>
  </si>
  <si>
    <t>99.87</t>
  </si>
  <si>
    <t>02129</t>
  </si>
  <si>
    <t>Dispur</t>
  </si>
  <si>
    <t>128.46</t>
  </si>
  <si>
    <t>02130</t>
  </si>
  <si>
    <t>Sonapur</t>
  </si>
  <si>
    <t>401.99874370772051</t>
  </si>
  <si>
    <t>02131</t>
  </si>
  <si>
    <t>Chandrapur</t>
  </si>
  <si>
    <t>149.47431462749279</t>
  </si>
  <si>
    <t>02142</t>
  </si>
  <si>
    <t>Barama (Pt)</t>
  </si>
  <si>
    <t>19.049855320831817</t>
  </si>
  <si>
    <t>02132</t>
  </si>
  <si>
    <t>Tihu (Pt)</t>
  </si>
  <si>
    <t>95.413834706013958</t>
  </si>
  <si>
    <t>02133</t>
  </si>
  <si>
    <t>Pachim Nalbari</t>
  </si>
  <si>
    <t>142.09953090733018</t>
  </si>
  <si>
    <t>02134</t>
  </si>
  <si>
    <t>Barkhetri</t>
  </si>
  <si>
    <t>372.6831351306331</t>
  </si>
  <si>
    <t>02135</t>
  </si>
  <si>
    <t>Barbhag</t>
  </si>
  <si>
    <t>98.028244642757372</t>
  </si>
  <si>
    <t>02136</t>
  </si>
  <si>
    <t>Nalbari</t>
  </si>
  <si>
    <t>128.95239383525794</t>
  </si>
  <si>
    <t>02137</t>
  </si>
  <si>
    <t>Banekuchi</t>
  </si>
  <si>
    <t>53.603087661146702</t>
  </si>
  <si>
    <t>02138</t>
  </si>
  <si>
    <t>Ghograpar (Pt)</t>
  </si>
  <si>
    <t>131.2577601458845</t>
  </si>
  <si>
    <t>02139</t>
  </si>
  <si>
    <t>Baganpara (Pt)</t>
  </si>
  <si>
    <t>10.912157650144321</t>
  </si>
  <si>
    <t>368.37318929265359</t>
  </si>
  <si>
    <t>648</t>
  </si>
  <si>
    <t>0.88</t>
  </si>
  <si>
    <t>270.48071792068941</t>
  </si>
  <si>
    <t>294.30991059664581</t>
  </si>
  <si>
    <t>228.19931141167984</t>
  </si>
  <si>
    <t>2.0161554901877321</t>
  </si>
  <si>
    <t>96.572740202526333</t>
  </si>
  <si>
    <t>35.802075215880166</t>
  </si>
  <si>
    <t>7.2948454181042557</t>
  </si>
  <si>
    <t>02143</t>
  </si>
  <si>
    <t>Baska</t>
  </si>
  <si>
    <t>298.50983819522332</t>
  </si>
  <si>
    <t>195.44756535302091</t>
  </si>
  <si>
    <t>02144</t>
  </si>
  <si>
    <t>Tamulpur</t>
  </si>
  <si>
    <t>656.29035964536456</t>
  </si>
  <si>
    <t>02146</t>
  </si>
  <si>
    <t>Pathorighat (Pt)</t>
  </si>
  <si>
    <t>2.8240542772705344</t>
  </si>
  <si>
    <t>02145</t>
  </si>
  <si>
    <t>Khoirabari (Pt)</t>
  </si>
  <si>
    <t>20.372125174199773</t>
  </si>
  <si>
    <t>179.52451590275456</t>
  </si>
  <si>
    <t>02147</t>
  </si>
  <si>
    <t>Sipajhar</t>
  </si>
  <si>
    <t>308.01310326219857</t>
  </si>
  <si>
    <t>02148</t>
  </si>
  <si>
    <t>Mangaldoi (Pt)</t>
  </si>
  <si>
    <t>392.90287467109891</t>
  </si>
  <si>
    <t>02150</t>
  </si>
  <si>
    <t>Kalaigaon (Pt)</t>
  </si>
  <si>
    <t>60.048010078348582</t>
  </si>
  <si>
    <t>02149</t>
  </si>
  <si>
    <t>Dalgaon (Pt)</t>
  </si>
  <si>
    <t>624.13937091139951</t>
  </si>
  <si>
    <t>171.00773501344386</t>
  </si>
  <si>
    <t>1.354928181989262</t>
  </si>
  <si>
    <t>33.455348327381891</t>
  </si>
  <si>
    <t>165.95766015267375</t>
  </si>
  <si>
    <t>59.424676629546525</t>
  </si>
  <si>
    <t>02151</t>
  </si>
  <si>
    <t>Harisinga</t>
  </si>
  <si>
    <t>637.23561977734914</t>
  </si>
  <si>
    <t>02152</t>
  </si>
  <si>
    <t>Udalguri</t>
  </si>
  <si>
    <t>578.67155383839577</t>
  </si>
  <si>
    <t>02153</t>
  </si>
  <si>
    <t>Mazbat</t>
  </si>
  <si>
    <t>329.17719987211007</t>
  </si>
  <si>
    <t>35.71527820711011</t>
  </si>
  <si>
    <t>02154</t>
  </si>
  <si>
    <t>Darjeeling Pulbazar</t>
  </si>
  <si>
    <t>516.48717525618952</t>
  </si>
  <si>
    <t>02155</t>
  </si>
  <si>
    <t>Rangli Rangliot</t>
  </si>
  <si>
    <t>137.25367143185531</t>
  </si>
  <si>
    <t>02156</t>
  </si>
  <si>
    <t>Kalimpong -I</t>
  </si>
  <si>
    <t>347.31994222801336</t>
  </si>
  <si>
    <t>02157</t>
  </si>
  <si>
    <t>Kalimpong - II</t>
  </si>
  <si>
    <t>333.23905278630826</t>
  </si>
  <si>
    <t>02158</t>
  </si>
  <si>
    <t>Gorubathan</t>
  </si>
  <si>
    <t>407.55628627992053</t>
  </si>
  <si>
    <t>02159</t>
  </si>
  <si>
    <t>Jorebunglow Sukiapokhri</t>
  </si>
  <si>
    <t>138.83992442900669</t>
  </si>
  <si>
    <t>02160</t>
  </si>
  <si>
    <t>Mirik</t>
  </si>
  <si>
    <t>92.308113613580659</t>
  </si>
  <si>
    <t>02161</t>
  </si>
  <si>
    <t>Kurseong</t>
  </si>
  <si>
    <t>303.03995282514461</t>
  </si>
  <si>
    <t>02162</t>
  </si>
  <si>
    <t>Matigara</t>
  </si>
  <si>
    <t>174.23123303796157</t>
  </si>
  <si>
    <t>02163</t>
  </si>
  <si>
    <t>Naxalbari</t>
  </si>
  <si>
    <t>259.34763920597476</t>
  </si>
  <si>
    <t>02164</t>
  </si>
  <si>
    <t>Phansidewa</t>
  </si>
  <si>
    <t>265.80724511569616</t>
  </si>
  <si>
    <t>02165</t>
  </si>
  <si>
    <t>Kharibari</t>
  </si>
  <si>
    <t>122.52976379034867</t>
  </si>
  <si>
    <t>51.04</t>
  </si>
  <si>
    <t>02166</t>
  </si>
  <si>
    <t>Rajganj</t>
  </si>
  <si>
    <t>658.41892206504792</t>
  </si>
  <si>
    <t>02167</t>
  </si>
  <si>
    <t>Mal</t>
  </si>
  <si>
    <t>563.31019244842514</t>
  </si>
  <si>
    <t>02168</t>
  </si>
  <si>
    <t>Matiali</t>
  </si>
  <si>
    <t>230.53737700888635</t>
  </si>
  <si>
    <t>02169</t>
  </si>
  <si>
    <t>Nagrakata</t>
  </si>
  <si>
    <t>457.64807361590016</t>
  </si>
  <si>
    <t>02170</t>
  </si>
  <si>
    <t>Madarihat</t>
  </si>
  <si>
    <t>352.88891012184587</t>
  </si>
  <si>
    <t>02171</t>
  </si>
  <si>
    <t>Kalchini</t>
  </si>
  <si>
    <t>1020.1655491646991</t>
  </si>
  <si>
    <t>02172</t>
  </si>
  <si>
    <t>Kumargram</t>
  </si>
  <si>
    <t>465.51667835437013</t>
  </si>
  <si>
    <t>02173</t>
  </si>
  <si>
    <t>Alipurduar - I</t>
  </si>
  <si>
    <t>347.66316408361149</t>
  </si>
  <si>
    <t>02174</t>
  </si>
  <si>
    <t>Alipurduar - II</t>
  </si>
  <si>
    <t>313.33199576234102</t>
  </si>
  <si>
    <t>02175</t>
  </si>
  <si>
    <t>Falakata</t>
  </si>
  <si>
    <t>283.23439655690993</t>
  </si>
  <si>
    <t>02176</t>
  </si>
  <si>
    <t>Dhupguri</t>
  </si>
  <si>
    <t>494.89271517561866</t>
  </si>
  <si>
    <t>02177</t>
  </si>
  <si>
    <t>Maynaguri</t>
  </si>
  <si>
    <t>470.20118119189448</t>
  </si>
  <si>
    <t>02178</t>
  </si>
  <si>
    <t>Jalpaiguri</t>
  </si>
  <si>
    <t>502.13084445045001</t>
  </si>
  <si>
    <t>67.06</t>
  </si>
  <si>
    <t>02179</t>
  </si>
  <si>
    <t>Haldibari</t>
  </si>
  <si>
    <t>200.8042262085836</t>
  </si>
  <si>
    <t>02180</t>
  </si>
  <si>
    <t>Mekliganj</t>
  </si>
  <si>
    <t>319.16710419163678</t>
  </si>
  <si>
    <t>02181</t>
  </si>
  <si>
    <t>Mathabhanga - I</t>
  </si>
  <si>
    <t>300.61275375630453</t>
  </si>
  <si>
    <t>02182</t>
  </si>
  <si>
    <t>Mathabhanga - II</t>
  </si>
  <si>
    <t>296.94631177108926</t>
  </si>
  <si>
    <t>02183</t>
  </si>
  <si>
    <t>Cooch Behar - I</t>
  </si>
  <si>
    <t>343.42576596814678</t>
  </si>
  <si>
    <t>02184</t>
  </si>
  <si>
    <t>Cooch Behar - II</t>
  </si>
  <si>
    <t>379.54487788845495</t>
  </si>
  <si>
    <t>02185</t>
  </si>
  <si>
    <t>Tufanganj - I</t>
  </si>
  <si>
    <t>316.6121848352609</t>
  </si>
  <si>
    <t>02186</t>
  </si>
  <si>
    <t>Tufanganj - II</t>
  </si>
  <si>
    <t>248.6583491616864</t>
  </si>
  <si>
    <t>02187</t>
  </si>
  <si>
    <t>Dinhata - I</t>
  </si>
  <si>
    <t>270.78326446002131</t>
  </si>
  <si>
    <t>02188</t>
  </si>
  <si>
    <t>Dinhata - II</t>
  </si>
  <si>
    <t>256.365295796005</t>
  </si>
  <si>
    <t>02189</t>
  </si>
  <si>
    <t>Sitai</t>
  </si>
  <si>
    <t>155.54634269505999</t>
  </si>
  <si>
    <t>02190</t>
  </si>
  <si>
    <t>Sitalkuchi</t>
  </si>
  <si>
    <t>265.21352326775059</t>
  </si>
  <si>
    <t>33.32</t>
  </si>
  <si>
    <t>02191</t>
  </si>
  <si>
    <t>Chopra</t>
  </si>
  <si>
    <t>376.58038672547121</t>
  </si>
  <si>
    <t>02192</t>
  </si>
  <si>
    <t>331.86726769947381</t>
  </si>
  <si>
    <t>02193</t>
  </si>
  <si>
    <t>Goalpokhar - I</t>
  </si>
  <si>
    <t>358.55128165071443</t>
  </si>
  <si>
    <t>02194</t>
  </si>
  <si>
    <t>Goalpokhar - II</t>
  </si>
  <si>
    <t>310.25626602074936</t>
  </si>
  <si>
    <t>02195</t>
  </si>
  <si>
    <t>Karandighi</t>
  </si>
  <si>
    <t>369.95401875703237</t>
  </si>
  <si>
    <t>02196</t>
  </si>
  <si>
    <t>Raiganj</t>
  </si>
  <si>
    <t>488.31912929972992</t>
  </si>
  <si>
    <t>02197</t>
  </si>
  <si>
    <t>Hemtabad</t>
  </si>
  <si>
    <t>193.26943133375306</t>
  </si>
  <si>
    <t>02198</t>
  </si>
  <si>
    <t>Kaliaganj</t>
  </si>
  <si>
    <t>291.95156138740373</t>
  </si>
  <si>
    <t>02199</t>
  </si>
  <si>
    <t>Itahar</t>
  </si>
  <si>
    <t>369.80065712567171</t>
  </si>
  <si>
    <t>49.45</t>
  </si>
  <si>
    <t>02200</t>
  </si>
  <si>
    <t>Kushmundi</t>
  </si>
  <si>
    <t>304.89388308717969</t>
  </si>
  <si>
    <t>02201</t>
  </si>
  <si>
    <t>Gangarampur</t>
  </si>
  <si>
    <t>309.96133810160165</t>
  </si>
  <si>
    <t>02202</t>
  </si>
  <si>
    <t>Kumarganj</t>
  </si>
  <si>
    <t>288.89672458215392</t>
  </si>
  <si>
    <t>02203</t>
  </si>
  <si>
    <t>Hilli</t>
  </si>
  <si>
    <t>88.470352623344198</t>
  </si>
  <si>
    <t>02204</t>
  </si>
  <si>
    <t>Balurghat</t>
  </si>
  <si>
    <t>355.00766104489446</t>
  </si>
  <si>
    <t>02205</t>
  </si>
  <si>
    <t>Tapan</t>
  </si>
  <si>
    <t>424.1516715307398</t>
  </si>
  <si>
    <t>02206</t>
  </si>
  <si>
    <t>Bansihari</t>
  </si>
  <si>
    <t>207.28483919673434</t>
  </si>
  <si>
    <t>02207</t>
  </si>
  <si>
    <t>Harirampur</t>
  </si>
  <si>
    <t>218.61352983335212</t>
  </si>
  <si>
    <t>21.72</t>
  </si>
  <si>
    <t>02208</t>
  </si>
  <si>
    <t>Harischandrapur - I</t>
  </si>
  <si>
    <t>178.56763200324858</t>
  </si>
  <si>
    <t>02209</t>
  </si>
  <si>
    <t>Harischandrapur - II</t>
  </si>
  <si>
    <t>225.34173949966356</t>
  </si>
  <si>
    <t>02210</t>
  </si>
  <si>
    <t>Chanchal - I</t>
  </si>
  <si>
    <t>171.0287817176777</t>
  </si>
  <si>
    <t>02211</t>
  </si>
  <si>
    <t>Chanchal - II</t>
  </si>
  <si>
    <t>215.12685416349268</t>
  </si>
  <si>
    <t>02212</t>
  </si>
  <si>
    <t>Ratua - I</t>
  </si>
  <si>
    <t>252.66482989627858</t>
  </si>
  <si>
    <t>02213</t>
  </si>
  <si>
    <t>Ratua - II</t>
  </si>
  <si>
    <t>173.03846239959486</t>
  </si>
  <si>
    <t>02214</t>
  </si>
  <si>
    <t>Gazole</t>
  </si>
  <si>
    <t>538.29304145555454</t>
  </si>
  <si>
    <t>02215</t>
  </si>
  <si>
    <t>Bamangola</t>
  </si>
  <si>
    <t>210.29273781644133</t>
  </si>
  <si>
    <t>02216</t>
  </si>
  <si>
    <t>Habibpur</t>
  </si>
  <si>
    <t>405.43725315859268</t>
  </si>
  <si>
    <t>02217</t>
  </si>
  <si>
    <t>Maldah (Old)</t>
  </si>
  <si>
    <t>229.7272685391292</t>
  </si>
  <si>
    <t>02218</t>
  </si>
  <si>
    <t>English Bazar</t>
  </si>
  <si>
    <t>247.6971832664907</t>
  </si>
  <si>
    <t>02219</t>
  </si>
  <si>
    <t>Manikchak</t>
  </si>
  <si>
    <t>347.99346443731508</t>
  </si>
  <si>
    <t>02220</t>
  </si>
  <si>
    <t>Kaliachak - I</t>
  </si>
  <si>
    <t>112.60627167435737</t>
  </si>
  <si>
    <t>02221</t>
  </si>
  <si>
    <t>Kaliachak - II</t>
  </si>
  <si>
    <t>171.77133882621627</t>
  </si>
  <si>
    <t>02222</t>
  </si>
  <si>
    <t>Kaliachak - III</t>
  </si>
  <si>
    <t>230.48314114594717</t>
  </si>
  <si>
    <t>22.93</t>
  </si>
  <si>
    <t>02223</t>
  </si>
  <si>
    <t>Farakka</t>
  </si>
  <si>
    <t>143.41338085290266</t>
  </si>
  <si>
    <t>02224</t>
  </si>
  <si>
    <t>Samserganj</t>
  </si>
  <si>
    <t>94.761370777373827</t>
  </si>
  <si>
    <t>02225</t>
  </si>
  <si>
    <t>Suti - I</t>
  </si>
  <si>
    <t>139.58784883291361</t>
  </si>
  <si>
    <t>02226</t>
  </si>
  <si>
    <t>Suti - II</t>
  </si>
  <si>
    <t>135.16032214884609</t>
  </si>
  <si>
    <t>02227</t>
  </si>
  <si>
    <t>Raghunathganj - I</t>
  </si>
  <si>
    <t>138.74502327723096</t>
  </si>
  <si>
    <t>02228</t>
  </si>
  <si>
    <t>Raghunathganj - II</t>
  </si>
  <si>
    <t>114.39019431247769</t>
  </si>
  <si>
    <t>02229</t>
  </si>
  <si>
    <t>Lalgola</t>
  </si>
  <si>
    <t>207.76961939598812</t>
  </si>
  <si>
    <t>02230</t>
  </si>
  <si>
    <t>Sagardighi</t>
  </si>
  <si>
    <t>332.7336225073177</t>
  </si>
  <si>
    <t>02231</t>
  </si>
  <si>
    <t>Bhagawangola - I</t>
  </si>
  <si>
    <t>149.31485639094259</t>
  </si>
  <si>
    <t>02232</t>
  </si>
  <si>
    <t>Bhagawangola - II</t>
  </si>
  <si>
    <t>168.0221155431569</t>
  </si>
  <si>
    <t>02233</t>
  </si>
  <si>
    <t>Raninagar - II</t>
  </si>
  <si>
    <t>199.11579931624416</t>
  </si>
  <si>
    <t>02234</t>
  </si>
  <si>
    <t>Jalangi</t>
  </si>
  <si>
    <t>226.18714067890545</t>
  </si>
  <si>
    <t>02235</t>
  </si>
  <si>
    <t>Domkal</t>
  </si>
  <si>
    <t>311.05015759453522</t>
  </si>
  <si>
    <t>02236</t>
  </si>
  <si>
    <t>Raninagar - I</t>
  </si>
  <si>
    <t>169.51721063929074</t>
  </si>
  <si>
    <t>02237</t>
  </si>
  <si>
    <t>Murshidabad Jiaganj</t>
  </si>
  <si>
    <t>171.66476602664673</t>
  </si>
  <si>
    <t>02238</t>
  </si>
  <si>
    <t>Nabagram</t>
  </si>
  <si>
    <t>289.27935293946081</t>
  </si>
  <si>
    <t>02239</t>
  </si>
  <si>
    <t>Khargram</t>
  </si>
  <si>
    <t>297.64549139364379</t>
  </si>
  <si>
    <t>02240</t>
  </si>
  <si>
    <t>Kandi</t>
  </si>
  <si>
    <t>217.6982493469641</t>
  </si>
  <si>
    <t>02241</t>
  </si>
  <si>
    <t>Berhampore</t>
  </si>
  <si>
    <t>278.04363087338112</t>
  </si>
  <si>
    <t>02242</t>
  </si>
  <si>
    <t>Hariharpara</t>
  </si>
  <si>
    <t>252.72077296901068</t>
  </si>
  <si>
    <t>02243</t>
  </si>
  <si>
    <t>Nawda</t>
  </si>
  <si>
    <t>227.68128961420067</t>
  </si>
  <si>
    <t>02244</t>
  </si>
  <si>
    <t>Beldanga - I</t>
  </si>
  <si>
    <t>173.4638623201229</t>
  </si>
  <si>
    <t>02245</t>
  </si>
  <si>
    <t>Beldanga - II</t>
  </si>
  <si>
    <t>190.18780386279721</t>
  </si>
  <si>
    <t>02246</t>
  </si>
  <si>
    <t>Bharatpur - II</t>
  </si>
  <si>
    <t>155.4460817741101</t>
  </si>
  <si>
    <t>02247</t>
  </si>
  <si>
    <t>Bharatpur - I</t>
  </si>
  <si>
    <t>177.164688067908</t>
  </si>
  <si>
    <t>02248</t>
  </si>
  <si>
    <t>Burwan</t>
  </si>
  <si>
    <t>271.50534854362809</t>
  </si>
  <si>
    <t>91.73</t>
  </si>
  <si>
    <t>02249</t>
  </si>
  <si>
    <t>Murarai - I</t>
  </si>
  <si>
    <t>172.21661023838342</t>
  </si>
  <si>
    <t>02250</t>
  </si>
  <si>
    <t>Murarai - II</t>
  </si>
  <si>
    <t>192.87837460356931</t>
  </si>
  <si>
    <t>02251</t>
  </si>
  <si>
    <t>Nalhati - I</t>
  </si>
  <si>
    <t>275.17036196260534</t>
  </si>
  <si>
    <t>02252</t>
  </si>
  <si>
    <t>Nalhati - II</t>
  </si>
  <si>
    <t>117.43485640201389</t>
  </si>
  <si>
    <t>02253</t>
  </si>
  <si>
    <t>Rampurhat - I</t>
  </si>
  <si>
    <t>286.06924484491157</t>
  </si>
  <si>
    <t>02254</t>
  </si>
  <si>
    <t>Rampurhat - II</t>
  </si>
  <si>
    <t>161.38573004073888</t>
  </si>
  <si>
    <t>02255</t>
  </si>
  <si>
    <t>Mayureswar - I</t>
  </si>
  <si>
    <t>195.87740602865003</t>
  </si>
  <si>
    <t>02256</t>
  </si>
  <si>
    <t>Mayureswar - II</t>
  </si>
  <si>
    <t>153.169737132649</t>
  </si>
  <si>
    <t>02257</t>
  </si>
  <si>
    <t>Mohammad Bazar</t>
  </si>
  <si>
    <t>336.68738858278135</t>
  </si>
  <si>
    <t>02258</t>
  </si>
  <si>
    <t>239.4633792350607</t>
  </si>
  <si>
    <t>02259</t>
  </si>
  <si>
    <t>Suri - I</t>
  </si>
  <si>
    <t>145.62522709024591</t>
  </si>
  <si>
    <t>02260</t>
  </si>
  <si>
    <t>Suri - II</t>
  </si>
  <si>
    <t>126.72006684356745</t>
  </si>
  <si>
    <t>02261</t>
  </si>
  <si>
    <t>Sainthia</t>
  </si>
  <si>
    <t>273.43938452240201</t>
  </si>
  <si>
    <t>02262</t>
  </si>
  <si>
    <t>Labpur</t>
  </si>
  <si>
    <t>278.31803557117479</t>
  </si>
  <si>
    <t>02263</t>
  </si>
  <si>
    <t>Nanoor</t>
  </si>
  <si>
    <t>288.60041234358761</t>
  </si>
  <si>
    <t>02264</t>
  </si>
  <si>
    <t>Bolpur Sriniketan</t>
  </si>
  <si>
    <t>321.34022503412973</t>
  </si>
  <si>
    <t>02265</t>
  </si>
  <si>
    <t>Illambazar</t>
  </si>
  <si>
    <t>286.15817659521593</t>
  </si>
  <si>
    <t>02266</t>
  </si>
  <si>
    <t>Dubrajpur</t>
  </si>
  <si>
    <t>348.46847759374072</t>
  </si>
  <si>
    <t>02267</t>
  </si>
  <si>
    <t>Khoyrasol</t>
  </si>
  <si>
    <t>278.2869053345724</t>
  </si>
  <si>
    <t>67.69</t>
  </si>
  <si>
    <t>335</t>
  </si>
  <si>
    <t>02268</t>
  </si>
  <si>
    <t>Salanpur</t>
  </si>
  <si>
    <t>47.386631680131757</t>
  </si>
  <si>
    <t>02269</t>
  </si>
  <si>
    <t>Barabani</t>
  </si>
  <si>
    <t>43.037029773762484</t>
  </si>
  <si>
    <t>02270</t>
  </si>
  <si>
    <t>Jamuria</t>
  </si>
  <si>
    <t>133.85507246725405</t>
  </si>
  <si>
    <t>02271</t>
  </si>
  <si>
    <t>80.966170622968775</t>
  </si>
  <si>
    <t>02272</t>
  </si>
  <si>
    <t>Ondal</t>
  </si>
  <si>
    <t>78.140397646718711</t>
  </si>
  <si>
    <t>02273</t>
  </si>
  <si>
    <t>Pandabeswar</t>
  </si>
  <si>
    <t>114.53362674341462</t>
  </si>
  <si>
    <t>02274</t>
  </si>
  <si>
    <t>Faridpur Durgapur</t>
  </si>
  <si>
    <t>184.20810325748027</t>
  </si>
  <si>
    <t>02275</t>
  </si>
  <si>
    <t>Kanksa</t>
  </si>
  <si>
    <t>288.07332329061597</t>
  </si>
  <si>
    <t>02276</t>
  </si>
  <si>
    <t>Ausgram - II</t>
  </si>
  <si>
    <t>358.13064370207388</t>
  </si>
  <si>
    <t>02277</t>
  </si>
  <si>
    <t>Ausgram - I</t>
  </si>
  <si>
    <t>220.87374832584385</t>
  </si>
  <si>
    <t>02278</t>
  </si>
  <si>
    <t>Mangolkote</t>
  </si>
  <si>
    <t>390.73307991558551</t>
  </si>
  <si>
    <t>02279</t>
  </si>
  <si>
    <t>Ketugram - I</t>
  </si>
  <si>
    <t>202.74845995264872</t>
  </si>
  <si>
    <t>02280</t>
  </si>
  <si>
    <t>Ketugram - II</t>
  </si>
  <si>
    <t>165.00189524539306</t>
  </si>
  <si>
    <t>02281</t>
  </si>
  <si>
    <t>Katwa - I</t>
  </si>
  <si>
    <t>178.7224976453108</t>
  </si>
  <si>
    <t>02282</t>
  </si>
  <si>
    <t>Katwa - II</t>
  </si>
  <si>
    <t>154.78232943531259</t>
  </si>
  <si>
    <t>02283</t>
  </si>
  <si>
    <t>Purbasthali - I</t>
  </si>
  <si>
    <t>154.98662097154954</t>
  </si>
  <si>
    <t>02284</t>
  </si>
  <si>
    <t>Purbasthali - II</t>
  </si>
  <si>
    <t>203.97822735347975</t>
  </si>
  <si>
    <t>02285</t>
  </si>
  <si>
    <t>Manteswar</t>
  </si>
  <si>
    <t>321.3002789099196</t>
  </si>
  <si>
    <t>02286</t>
  </si>
  <si>
    <t>Bhatar</t>
  </si>
  <si>
    <t>430.37908764260408</t>
  </si>
  <si>
    <t>02287</t>
  </si>
  <si>
    <t>Galsi - I</t>
  </si>
  <si>
    <t>263.57385188624517</t>
  </si>
  <si>
    <t>02288</t>
  </si>
  <si>
    <t>Galsi - II</t>
  </si>
  <si>
    <t>223.45608108713114</t>
  </si>
  <si>
    <t>02289</t>
  </si>
  <si>
    <t>Burdwan - I</t>
  </si>
  <si>
    <t>247.63808330711123</t>
  </si>
  <si>
    <t>02290</t>
  </si>
  <si>
    <t>Burdwan - II</t>
  </si>
  <si>
    <t>188.2570465679249</t>
  </si>
  <si>
    <t>02291</t>
  </si>
  <si>
    <t>Memari - I</t>
  </si>
  <si>
    <t>186.42576572110929</t>
  </si>
  <si>
    <t>02292</t>
  </si>
  <si>
    <t>Memari - II</t>
  </si>
  <si>
    <t>201.06872305346158</t>
  </si>
  <si>
    <t>02293</t>
  </si>
  <si>
    <t>Kalna - I</t>
  </si>
  <si>
    <t>177.07423088958504</t>
  </si>
  <si>
    <t>02294</t>
  </si>
  <si>
    <t>Kalna - II</t>
  </si>
  <si>
    <t>181.50536289954871</t>
  </si>
  <si>
    <t>02295</t>
  </si>
  <si>
    <t>267.38565606878819</t>
  </si>
  <si>
    <t>02296</t>
  </si>
  <si>
    <t>Raina - I</t>
  </si>
  <si>
    <t>272.62321541684327</t>
  </si>
  <si>
    <t>02297</t>
  </si>
  <si>
    <t>Khandaghosh</t>
  </si>
  <si>
    <t>275.1295491094175</t>
  </si>
  <si>
    <t>02298</t>
  </si>
  <si>
    <t>Raina - II</t>
  </si>
  <si>
    <t>230.27520941076506</t>
  </si>
  <si>
    <t>557.75</t>
  </si>
  <si>
    <t>02299</t>
  </si>
  <si>
    <t>Karimpur - I</t>
  </si>
  <si>
    <t>196.45145807741878</t>
  </si>
  <si>
    <t>02300</t>
  </si>
  <si>
    <t>Karimpur - II</t>
  </si>
  <si>
    <t>233.63395102067392</t>
  </si>
  <si>
    <t>02301</t>
  </si>
  <si>
    <t>Tehatta - I</t>
  </si>
  <si>
    <t>252.65813652741164</t>
  </si>
  <si>
    <t>02302</t>
  </si>
  <si>
    <t>Tehatta - II</t>
  </si>
  <si>
    <t>174.58423865071342</t>
  </si>
  <si>
    <t>02303</t>
  </si>
  <si>
    <t>Kaliganj</t>
  </si>
  <si>
    <t>330.48219797141235</t>
  </si>
  <si>
    <t>02304</t>
  </si>
  <si>
    <t>Nakashipara</t>
  </si>
  <si>
    <t>368.57889660760998</t>
  </si>
  <si>
    <t>02305</t>
  </si>
  <si>
    <t>301.4667126713781</t>
  </si>
  <si>
    <t>02306</t>
  </si>
  <si>
    <t>Krishnagar - II</t>
  </si>
  <si>
    <t>135.33417191349241</t>
  </si>
  <si>
    <t>02307</t>
  </si>
  <si>
    <t>Nabadwip</t>
  </si>
  <si>
    <t>93.173428984835937</t>
  </si>
  <si>
    <t>02308</t>
  </si>
  <si>
    <t>Krishnagar - I</t>
  </si>
  <si>
    <t>259.72056390346427</t>
  </si>
  <si>
    <t>02309</t>
  </si>
  <si>
    <t>Krishnaganj</t>
  </si>
  <si>
    <t>151.24028237226449</t>
  </si>
  <si>
    <t>02310</t>
  </si>
  <si>
    <t>Hanskhali</t>
  </si>
  <si>
    <t>239.40385596279242</t>
  </si>
  <si>
    <t>02311</t>
  </si>
  <si>
    <t>Santipur</t>
  </si>
  <si>
    <t>177.09843370347633</t>
  </si>
  <si>
    <t>02312</t>
  </si>
  <si>
    <t>Ranaghat - I</t>
  </si>
  <si>
    <t>135.48551249764714</t>
  </si>
  <si>
    <t>02313</t>
  </si>
  <si>
    <t>Ranaghat - II</t>
  </si>
  <si>
    <t>288.2379654328501</t>
  </si>
  <si>
    <t>02314</t>
  </si>
  <si>
    <t>Chakdah</t>
  </si>
  <si>
    <t>282.01400137350555</t>
  </si>
  <si>
    <t>02315</t>
  </si>
  <si>
    <t>Haringhata</t>
  </si>
  <si>
    <t>157.10619232905267</t>
  </si>
  <si>
    <t>150.33000000000001</t>
  </si>
  <si>
    <t>02316</t>
  </si>
  <si>
    <t>Bagda</t>
  </si>
  <si>
    <t>234.89</t>
  </si>
  <si>
    <t>02317</t>
  </si>
  <si>
    <t>Bongaon</t>
  </si>
  <si>
    <t>343.8</t>
  </si>
  <si>
    <t>02318</t>
  </si>
  <si>
    <t>Gaighata</t>
  </si>
  <si>
    <t>254.85</t>
  </si>
  <si>
    <t>02319</t>
  </si>
  <si>
    <t>Swarupnagar</t>
  </si>
  <si>
    <t>213.71</t>
  </si>
  <si>
    <t>02320</t>
  </si>
  <si>
    <t>Habra - I</t>
  </si>
  <si>
    <t>77.61</t>
  </si>
  <si>
    <t>02321</t>
  </si>
  <si>
    <t>Habra - II</t>
  </si>
  <si>
    <t>135.68</t>
  </si>
  <si>
    <t>02322</t>
  </si>
  <si>
    <t>Amdanga</t>
  </si>
  <si>
    <t>137.55000000000001</t>
  </si>
  <si>
    <t>02323</t>
  </si>
  <si>
    <t>Barrackpur - I</t>
  </si>
  <si>
    <t>59.64</t>
  </si>
  <si>
    <t>02324</t>
  </si>
  <si>
    <t>Barrackpur - II</t>
  </si>
  <si>
    <t>58.59</t>
  </si>
  <si>
    <t>02325</t>
  </si>
  <si>
    <t>Barasat - I</t>
  </si>
  <si>
    <t>98.24</t>
  </si>
  <si>
    <t>02326</t>
  </si>
  <si>
    <t>Barasat - II</t>
  </si>
  <si>
    <t>124.29</t>
  </si>
  <si>
    <t>02327</t>
  </si>
  <si>
    <t>Deganga</t>
  </si>
  <si>
    <t>221.08</t>
  </si>
  <si>
    <t>02328</t>
  </si>
  <si>
    <t>Baduria</t>
  </si>
  <si>
    <t>194.84</t>
  </si>
  <si>
    <t>02329</t>
  </si>
  <si>
    <t>Basirhat - I</t>
  </si>
  <si>
    <t>105.64</t>
  </si>
  <si>
    <t>02330</t>
  </si>
  <si>
    <t>Basirhat - II</t>
  </si>
  <si>
    <t>140.68</t>
  </si>
  <si>
    <t>02331</t>
  </si>
  <si>
    <t>Haroa</t>
  </si>
  <si>
    <t>164.821055465086</t>
  </si>
  <si>
    <t>02332</t>
  </si>
  <si>
    <t>Rajarhat</t>
  </si>
  <si>
    <t>88.46</t>
  </si>
  <si>
    <t>02333</t>
  </si>
  <si>
    <t>Minakhan</t>
  </si>
  <si>
    <t>157.65</t>
  </si>
  <si>
    <t>02334</t>
  </si>
  <si>
    <t>Sandeshkhali - I</t>
  </si>
  <si>
    <t>188.98</t>
  </si>
  <si>
    <t>02335</t>
  </si>
  <si>
    <t>Sandeshkhali - II</t>
  </si>
  <si>
    <t>198.32</t>
  </si>
  <si>
    <t>02336</t>
  </si>
  <si>
    <t>Hasnabad</t>
  </si>
  <si>
    <t>154.21</t>
  </si>
  <si>
    <t>02337</t>
  </si>
  <si>
    <t>Hingalganj</t>
  </si>
  <si>
    <t>283.94</t>
  </si>
  <si>
    <t>454.96</t>
  </si>
  <si>
    <t>02338</t>
  </si>
  <si>
    <t>Goghat - I</t>
  </si>
  <si>
    <t>184.45901398189199</t>
  </si>
  <si>
    <t>02339</t>
  </si>
  <si>
    <t>Goghat - II</t>
  </si>
  <si>
    <t>190.4913083494088</t>
  </si>
  <si>
    <t>02340</t>
  </si>
  <si>
    <t>Arambag</t>
  </si>
  <si>
    <t>276.09670845338377</t>
  </si>
  <si>
    <t>02341</t>
  </si>
  <si>
    <t>Pursura</t>
  </si>
  <si>
    <t>102.07230804475236</t>
  </si>
  <si>
    <t>02342</t>
  </si>
  <si>
    <t>Tarakeswar</t>
  </si>
  <si>
    <t>116.34012486591749</t>
  </si>
  <si>
    <t>02343</t>
  </si>
  <si>
    <t>Dhaniakhali</t>
  </si>
  <si>
    <t>277.3725063418384</t>
  </si>
  <si>
    <t>02344</t>
  </si>
  <si>
    <t>Pandua</t>
  </si>
  <si>
    <t>283.94137068809522</t>
  </si>
  <si>
    <t>02345</t>
  </si>
  <si>
    <t>Balagarh</t>
  </si>
  <si>
    <t>198.82753938941087</t>
  </si>
  <si>
    <t>02346</t>
  </si>
  <si>
    <t>Chinsurah - Magra</t>
  </si>
  <si>
    <t>64.941640074835632</t>
  </si>
  <si>
    <t>02347</t>
  </si>
  <si>
    <t>Polba - Dadpur</t>
  </si>
  <si>
    <t>290.07608015316447</t>
  </si>
  <si>
    <t>02348</t>
  </si>
  <si>
    <t>Haripal</t>
  </si>
  <si>
    <t>185.32217056257767</t>
  </si>
  <si>
    <t>02349</t>
  </si>
  <si>
    <t>Singur</t>
  </si>
  <si>
    <t>164.95691710177215</t>
  </si>
  <si>
    <t>02350</t>
  </si>
  <si>
    <t>Serampur Uttarpara</t>
  </si>
  <si>
    <t>33.159693617445519</t>
  </si>
  <si>
    <t>02351</t>
  </si>
  <si>
    <t>Chanditala - I</t>
  </si>
  <si>
    <t>93.95534409093419</t>
  </si>
  <si>
    <t>02352</t>
  </si>
  <si>
    <t>Chanditala - II</t>
  </si>
  <si>
    <t>49.906407272575308</t>
  </si>
  <si>
    <t>02353</t>
  </si>
  <si>
    <t>Jangipara</t>
  </si>
  <si>
    <t>163.64345785861533</t>
  </si>
  <si>
    <t>02354</t>
  </si>
  <si>
    <t>Khanakul - I</t>
  </si>
  <si>
    <t>174.66210770493214</t>
  </si>
  <si>
    <t>02355</t>
  </si>
  <si>
    <t>Khanakul - II</t>
  </si>
  <si>
    <t>123.65530144844843</t>
  </si>
  <si>
    <t>175.12</t>
  </si>
  <si>
    <t>02356</t>
  </si>
  <si>
    <t>Saltora</t>
  </si>
  <si>
    <t>322.7974005421982</t>
  </si>
  <si>
    <t>02357</t>
  </si>
  <si>
    <t>Mejhia</t>
  </si>
  <si>
    <t>165.24424190662617</t>
  </si>
  <si>
    <t>02358</t>
  </si>
  <si>
    <t>Gangajalghati</t>
  </si>
  <si>
    <t>379.07988917790766</t>
  </si>
  <si>
    <t>02359</t>
  </si>
  <si>
    <t>Chhatna</t>
  </si>
  <si>
    <t>438.16910886450017</t>
  </si>
  <si>
    <t>02360</t>
  </si>
  <si>
    <t>Indpur</t>
  </si>
  <si>
    <t>299.35225249621698</t>
  </si>
  <si>
    <t>02361</t>
  </si>
  <si>
    <t>Bankura - I</t>
  </si>
  <si>
    <t>168.2370814206057</t>
  </si>
  <si>
    <t>02362</t>
  </si>
  <si>
    <t>Bankura - II</t>
  </si>
  <si>
    <t>229.46991888691815</t>
  </si>
  <si>
    <t>02363</t>
  </si>
  <si>
    <t>Barjora</t>
  </si>
  <si>
    <t>387.54180653985946</t>
  </si>
  <si>
    <t>02364</t>
  </si>
  <si>
    <t>Sonamukhi</t>
  </si>
  <si>
    <t>375.3016550045125</t>
  </si>
  <si>
    <t>02365</t>
  </si>
  <si>
    <t>Patrasayer</t>
  </si>
  <si>
    <t>332.50507918159263</t>
  </si>
  <si>
    <t>02366</t>
  </si>
  <si>
    <t>Indus</t>
  </si>
  <si>
    <t>256.58070307710466</t>
  </si>
  <si>
    <t>02367</t>
  </si>
  <si>
    <t>Kotulpur</t>
  </si>
  <si>
    <t>242.84703870209063</t>
  </si>
  <si>
    <t>02368</t>
  </si>
  <si>
    <t>Jaypur</t>
  </si>
  <si>
    <t>263.11919837979065</t>
  </si>
  <si>
    <t>02369</t>
  </si>
  <si>
    <t>Vishnupur</t>
  </si>
  <si>
    <t>351.43824410058761</t>
  </si>
  <si>
    <t>02370</t>
  </si>
  <si>
    <t>Onda</t>
  </si>
  <si>
    <t>504.74415099307157</t>
  </si>
  <si>
    <t>02371</t>
  </si>
  <si>
    <t>Taldangra</t>
  </si>
  <si>
    <t>347.53738536256702</t>
  </si>
  <si>
    <t>02372</t>
  </si>
  <si>
    <t>Simlapal</t>
  </si>
  <si>
    <t>312.9996566162763</t>
  </si>
  <si>
    <t>02373</t>
  </si>
  <si>
    <t>Khatra</t>
  </si>
  <si>
    <t>233.61382693156742</t>
  </si>
  <si>
    <t>02374</t>
  </si>
  <si>
    <t>Hirbandh</t>
  </si>
  <si>
    <t>193.29820096833419</t>
  </si>
  <si>
    <t>02375</t>
  </si>
  <si>
    <t>Ranibundh</t>
  </si>
  <si>
    <t>426.718948406143</t>
  </si>
  <si>
    <t>02376</t>
  </si>
  <si>
    <t>367.98775319938608</t>
  </si>
  <si>
    <t>02377</t>
  </si>
  <si>
    <t>Sarenga</t>
  </si>
  <si>
    <t>224.33645924214352</t>
  </si>
  <si>
    <t>59.08</t>
  </si>
  <si>
    <t>02378</t>
  </si>
  <si>
    <t>198.80420927275304</t>
  </si>
  <si>
    <t>02379</t>
  </si>
  <si>
    <t>Purulia - II</t>
  </si>
  <si>
    <t>288.71257633469384</t>
  </si>
  <si>
    <t>02380</t>
  </si>
  <si>
    <t>Para</t>
  </si>
  <si>
    <t>235.4864780749084</t>
  </si>
  <si>
    <t>02381</t>
  </si>
  <si>
    <t>Raghunathpur - II</t>
  </si>
  <si>
    <t>245.34684163101591</t>
  </si>
  <si>
    <t>02382</t>
  </si>
  <si>
    <t>Raghunathpur - I</t>
  </si>
  <si>
    <t>188.46366607017484</t>
  </si>
  <si>
    <t>02383</t>
  </si>
  <si>
    <t>Neturia</t>
  </si>
  <si>
    <t>187.5702941635187</t>
  </si>
  <si>
    <t>02384</t>
  </si>
  <si>
    <t>Santuri</t>
  </si>
  <si>
    <t>189.23827364524666</t>
  </si>
  <si>
    <t>02385</t>
  </si>
  <si>
    <t>446.17550939034658</t>
  </si>
  <si>
    <t>02386</t>
  </si>
  <si>
    <t>Hura</t>
  </si>
  <si>
    <t>403.84349986337872</t>
  </si>
  <si>
    <t>02387</t>
  </si>
  <si>
    <t>Purulia - I</t>
  </si>
  <si>
    <t>299.68034604264312</t>
  </si>
  <si>
    <t>02388</t>
  </si>
  <si>
    <t>Puncha</t>
  </si>
  <si>
    <t>328.21523603431285</t>
  </si>
  <si>
    <t>02389</t>
  </si>
  <si>
    <t>Arsha</t>
  </si>
  <si>
    <t>409.52868434978677</t>
  </si>
  <si>
    <t>02390</t>
  </si>
  <si>
    <t>Jhalda - I</t>
  </si>
  <si>
    <t>320.63957733590195</t>
  </si>
  <si>
    <t>02391</t>
  </si>
  <si>
    <t>Jhalda - II</t>
  </si>
  <si>
    <t>265.62259439531698</t>
  </si>
  <si>
    <t>02392</t>
  </si>
  <si>
    <t>Bagmundi</t>
  </si>
  <si>
    <t>435.68638841510415</t>
  </si>
  <si>
    <t>02393</t>
  </si>
  <si>
    <t>Balarampur</t>
  </si>
  <si>
    <t>301.20174419961569</t>
  </si>
  <si>
    <t>02394</t>
  </si>
  <si>
    <t>Barabazar</t>
  </si>
  <si>
    <t>452.06453954161412</t>
  </si>
  <si>
    <t>02395</t>
  </si>
  <si>
    <t>Manbazar - I</t>
  </si>
  <si>
    <t>377.97933685009974</t>
  </si>
  <si>
    <t>02396</t>
  </si>
  <si>
    <t>Manbazar - II</t>
  </si>
  <si>
    <t>278.95993067412456</t>
  </si>
  <si>
    <t>02397</t>
  </si>
  <si>
    <t>Bundwan</t>
  </si>
  <si>
    <t>374.98027371544305</t>
  </si>
  <si>
    <t>30.8</t>
  </si>
  <si>
    <t>02398</t>
  </si>
  <si>
    <t>Udaynarayanpur</t>
  </si>
  <si>
    <t>114.97724612323317</t>
  </si>
  <si>
    <t>02399</t>
  </si>
  <si>
    <t>Amta - II</t>
  </si>
  <si>
    <t>145.57632007838055</t>
  </si>
  <si>
    <t>02400</t>
  </si>
  <si>
    <t>Amta - I</t>
  </si>
  <si>
    <t>124.37941174020661</t>
  </si>
  <si>
    <t>02401</t>
  </si>
  <si>
    <t>Jagatballavpur</t>
  </si>
  <si>
    <t>133.74270096339083</t>
  </si>
  <si>
    <t>02402</t>
  </si>
  <si>
    <t>Domjur</t>
  </si>
  <si>
    <t>100.59720081641159</t>
  </si>
  <si>
    <t>02403</t>
  </si>
  <si>
    <t>Bally Jagachha</t>
  </si>
  <si>
    <t>30.92992320684457</t>
  </si>
  <si>
    <t>02404</t>
  </si>
  <si>
    <t>Sankrail</t>
  </si>
  <si>
    <t>63.141917537831645</t>
  </si>
  <si>
    <t>02405</t>
  </si>
  <si>
    <t>Panchla</t>
  </si>
  <si>
    <t>73.716348284949447</t>
  </si>
  <si>
    <t>02406</t>
  </si>
  <si>
    <t>Uluberia - II</t>
  </si>
  <si>
    <t>108.93579402506386</t>
  </si>
  <si>
    <t>02407</t>
  </si>
  <si>
    <t>Uluberia - I</t>
  </si>
  <si>
    <t>70.142329396965351</t>
  </si>
  <si>
    <t>02408</t>
  </si>
  <si>
    <t>Bagnan - I</t>
  </si>
  <si>
    <t>83.223141857472427</t>
  </si>
  <si>
    <t>02409</t>
  </si>
  <si>
    <t>Bagnan - II</t>
  </si>
  <si>
    <t>92.726638700778594</t>
  </si>
  <si>
    <t>02410</t>
  </si>
  <si>
    <t>Shyampur - I</t>
  </si>
  <si>
    <t>128.16967817649595</t>
  </si>
  <si>
    <t>02411</t>
  </si>
  <si>
    <t>Shyampur - II</t>
  </si>
  <si>
    <t>99.421349091975543</t>
  </si>
  <si>
    <t>97.32</t>
  </si>
  <si>
    <t>343</t>
  </si>
  <si>
    <t>02412</t>
  </si>
  <si>
    <t>Thakurpukur Mahestola</t>
  </si>
  <si>
    <t>62.600378800802915</t>
  </si>
  <si>
    <t>02413</t>
  </si>
  <si>
    <t>Budge Budge - I</t>
  </si>
  <si>
    <t>49.17590615792421</t>
  </si>
  <si>
    <t>02414</t>
  </si>
  <si>
    <t>Budge Budge - II</t>
  </si>
  <si>
    <t>146.53601039594275</t>
  </si>
  <si>
    <t>02415</t>
  </si>
  <si>
    <t>Bishnupur - I</t>
  </si>
  <si>
    <t>123.28164744737921</t>
  </si>
  <si>
    <t>02416</t>
  </si>
  <si>
    <t>Bishnupur - II</t>
  </si>
  <si>
    <t>108.81579648077853</t>
  </si>
  <si>
    <t>02417</t>
  </si>
  <si>
    <t>Sonarpur</t>
  </si>
  <si>
    <t>139.68499450886162</t>
  </si>
  <si>
    <t>02418</t>
  </si>
  <si>
    <t>Bhangar - I</t>
  </si>
  <si>
    <t>234.32868688440277</t>
  </si>
  <si>
    <t>02419</t>
  </si>
  <si>
    <t>Bhangar - II</t>
  </si>
  <si>
    <t>221.07376998719971</t>
  </si>
  <si>
    <t>02420</t>
  </si>
  <si>
    <t>Canning - I</t>
  </si>
  <si>
    <t>213.54471809443731</t>
  </si>
  <si>
    <t>02421</t>
  </si>
  <si>
    <t>Canning - II</t>
  </si>
  <si>
    <t>351.31233114545228</t>
  </si>
  <si>
    <t>02422</t>
  </si>
  <si>
    <t>Baruipur</t>
  </si>
  <si>
    <t>225.39638785344903</t>
  </si>
  <si>
    <t>02423</t>
  </si>
  <si>
    <t>Magrahat - II</t>
  </si>
  <si>
    <t>140.95381975619</t>
  </si>
  <si>
    <t>02424</t>
  </si>
  <si>
    <t>Magrahat - I</t>
  </si>
  <si>
    <t>124.64216284219731</t>
  </si>
  <si>
    <t>02425</t>
  </si>
  <si>
    <t>Falta</t>
  </si>
  <si>
    <t>201.06937304615619</t>
  </si>
  <si>
    <t>02426</t>
  </si>
  <si>
    <t>Diamond Harbour - I</t>
  </si>
  <si>
    <t>132.83080951267027</t>
  </si>
  <si>
    <t>02427</t>
  </si>
  <si>
    <t>Diamond Harbour - II</t>
  </si>
  <si>
    <t>191.29534787934116</t>
  </si>
  <si>
    <t>02428</t>
  </si>
  <si>
    <t>Kulpi</t>
  </si>
  <si>
    <t>301.83686707624435</t>
  </si>
  <si>
    <t>02429</t>
  </si>
  <si>
    <t>Mandirbazar</t>
  </si>
  <si>
    <t>166.69088626705462</t>
  </si>
  <si>
    <t>02430</t>
  </si>
  <si>
    <t>Mathurapur - I</t>
  </si>
  <si>
    <t>185.3186431647546</t>
  </si>
  <si>
    <t>02431</t>
  </si>
  <si>
    <t>Jaynagar - I</t>
  </si>
  <si>
    <t>204.51902346945863</t>
  </si>
  <si>
    <t>02432</t>
  </si>
  <si>
    <t>Jaynagar - II</t>
  </si>
  <si>
    <t>110.66399115637407</t>
  </si>
  <si>
    <t>02433</t>
  </si>
  <si>
    <t>Kultali</t>
  </si>
  <si>
    <t>869.89400456405986</t>
  </si>
  <si>
    <t>02434</t>
  </si>
  <si>
    <t>Basanti</t>
  </si>
  <si>
    <t>668.52936462862556</t>
  </si>
  <si>
    <t>02435</t>
  </si>
  <si>
    <t>Gosaba</t>
  </si>
  <si>
    <t>2661.514009994678</t>
  </si>
  <si>
    <t>02436</t>
  </si>
  <si>
    <t>Mathurapur - II</t>
  </si>
  <si>
    <t>286.58904358627859</t>
  </si>
  <si>
    <t>02437</t>
  </si>
  <si>
    <t>Kakdwip</t>
  </si>
  <si>
    <t>326.68134055195623</t>
  </si>
  <si>
    <t>02438</t>
  </si>
  <si>
    <t>Sagar</t>
  </si>
  <si>
    <t>391.82739415783163</t>
  </si>
  <si>
    <t>02439</t>
  </si>
  <si>
    <t>Namkhana</t>
  </si>
  <si>
    <t>326.41244949926113</t>
  </si>
  <si>
    <t>02440</t>
  </si>
  <si>
    <t>Patharpratima</t>
  </si>
  <si>
    <t>700.63084109023794</t>
  </si>
  <si>
    <t>136.53</t>
  </si>
  <si>
    <t>02441</t>
  </si>
  <si>
    <t>Binpur - II</t>
  </si>
  <si>
    <t>600.21639639259092</t>
  </si>
  <si>
    <t>02442</t>
  </si>
  <si>
    <t>Binpur - I</t>
  </si>
  <si>
    <t>344.97674811238511</t>
  </si>
  <si>
    <t>02443</t>
  </si>
  <si>
    <t>Garbeta - II</t>
  </si>
  <si>
    <t>353.33901776749963</t>
  </si>
  <si>
    <t>02444</t>
  </si>
  <si>
    <t>Garbeta - I</t>
  </si>
  <si>
    <t>421.30805415408327</t>
  </si>
  <si>
    <t>02445</t>
  </si>
  <si>
    <t>Garbeta - III</t>
  </si>
  <si>
    <t>304.2640913849205</t>
  </si>
  <si>
    <t>02446</t>
  </si>
  <si>
    <t>Chandrakona - I</t>
  </si>
  <si>
    <t>195.84774957727825</t>
  </si>
  <si>
    <t>02447</t>
  </si>
  <si>
    <t>Chandrakona - II</t>
  </si>
  <si>
    <t>171.0106046153756</t>
  </si>
  <si>
    <t>02448</t>
  </si>
  <si>
    <t>Ghatal</t>
  </si>
  <si>
    <t>215.50739746245915</t>
  </si>
  <si>
    <t>02449</t>
  </si>
  <si>
    <t>Daspur - I</t>
  </si>
  <si>
    <t>170.89133874055975</t>
  </si>
  <si>
    <t>02450</t>
  </si>
  <si>
    <t>Daspur - II</t>
  </si>
  <si>
    <t>162.34060559404043</t>
  </si>
  <si>
    <t>02451</t>
  </si>
  <si>
    <t>Keshpur</t>
  </si>
  <si>
    <t>499.06126630109634</t>
  </si>
  <si>
    <t>02452</t>
  </si>
  <si>
    <t>Salbani</t>
  </si>
  <si>
    <t>553.91982399875951</t>
  </si>
  <si>
    <t>02453</t>
  </si>
  <si>
    <t>Midnapore</t>
  </si>
  <si>
    <t>326.61502784447987</t>
  </si>
  <si>
    <t>02454</t>
  </si>
  <si>
    <t>Jhargram</t>
  </si>
  <si>
    <t>489</t>
  </si>
  <si>
    <t>517.84968073041216</t>
  </si>
  <si>
    <t>02455</t>
  </si>
  <si>
    <t>Jamboni</t>
  </si>
  <si>
    <t>328.09207902101662</t>
  </si>
  <si>
    <t>02456</t>
  </si>
  <si>
    <t>Gopiballavpur - II</t>
  </si>
  <si>
    <t>169.0252316835373</t>
  </si>
  <si>
    <t>02457</t>
  </si>
  <si>
    <t>Gopiballavpur - I</t>
  </si>
  <si>
    <t>299.17870588279993</t>
  </si>
  <si>
    <t>02458</t>
  </si>
  <si>
    <t>Nayagram</t>
  </si>
  <si>
    <t>507.9508553569147</t>
  </si>
  <si>
    <t>02459</t>
  </si>
  <si>
    <t>256.2594201509911</t>
  </si>
  <si>
    <t>02460</t>
  </si>
  <si>
    <t>Kharagpur - I</t>
  </si>
  <si>
    <t>229.04508506917503</t>
  </si>
  <si>
    <t>02461</t>
  </si>
  <si>
    <t>Kharagpur - II</t>
  </si>
  <si>
    <t>256.21276940869564</t>
  </si>
  <si>
    <t>02462</t>
  </si>
  <si>
    <t>Debra</t>
  </si>
  <si>
    <t>368.18167265279902</t>
  </si>
  <si>
    <t>02463</t>
  </si>
  <si>
    <t>Pingla</t>
  </si>
  <si>
    <t>244.49443983519097</t>
  </si>
  <si>
    <t>02464</t>
  </si>
  <si>
    <t>Sabang</t>
  </si>
  <si>
    <t>296.16576419110004</t>
  </si>
  <si>
    <t>02465</t>
  </si>
  <si>
    <t>Narayangarh</t>
  </si>
  <si>
    <t>510.27458354389586</t>
  </si>
  <si>
    <t>02466</t>
  </si>
  <si>
    <t>Keshiary</t>
  </si>
  <si>
    <t>293.35676574758492</t>
  </si>
  <si>
    <t>02467</t>
  </si>
  <si>
    <t>Dantan - I</t>
  </si>
  <si>
    <t>257.16138290060502</t>
  </si>
  <si>
    <t>02468</t>
  </si>
  <si>
    <t>Dantan - II</t>
  </si>
  <si>
    <t>187.1727012084053</t>
  </si>
  <si>
    <t>02469</t>
  </si>
  <si>
    <t>133.15074067134739</t>
  </si>
  <si>
    <t>195.13</t>
  </si>
  <si>
    <t>02470</t>
  </si>
  <si>
    <t>Panskura</t>
  </si>
  <si>
    <t>245.43595075937714</t>
  </si>
  <si>
    <t>02471</t>
  </si>
  <si>
    <t>Kolaghat</t>
  </si>
  <si>
    <t>177.07630713947026</t>
  </si>
  <si>
    <t>02472</t>
  </si>
  <si>
    <t>Tamluk</t>
  </si>
  <si>
    <t>114.58634997350232</t>
  </si>
  <si>
    <t>02473</t>
  </si>
  <si>
    <t>Sahid Matangini</t>
  </si>
  <si>
    <t>143.16262773480807</t>
  </si>
  <si>
    <t>02474</t>
  </si>
  <si>
    <t>Nanda Kumar</t>
  </si>
  <si>
    <t>151.98244707022727</t>
  </si>
  <si>
    <t>02475</t>
  </si>
  <si>
    <t>Mahisadal</t>
  </si>
  <si>
    <t>201.05210949478115</t>
  </si>
  <si>
    <t>02476</t>
  </si>
  <si>
    <t>Moyna</t>
  </si>
  <si>
    <t>195.89070448102569</t>
  </si>
  <si>
    <t>02477</t>
  </si>
  <si>
    <t>Potashpur - I</t>
  </si>
  <si>
    <t>187.94248552060631</t>
  </si>
  <si>
    <t>02478</t>
  </si>
  <si>
    <t>Potashpur - II</t>
  </si>
  <si>
    <t>209.16368917438385</t>
  </si>
  <si>
    <t>02479</t>
  </si>
  <si>
    <t>Bhagawanpur - II</t>
  </si>
  <si>
    <t>213.5528528126346</t>
  </si>
  <si>
    <t>02480</t>
  </si>
  <si>
    <t>Bhagawanpur - I</t>
  </si>
  <si>
    <t>198.14928037154266</t>
  </si>
  <si>
    <t>02481</t>
  </si>
  <si>
    <t>Chandipur</t>
  </si>
  <si>
    <t>160.99612479855907</t>
  </si>
  <si>
    <t>02482</t>
  </si>
  <si>
    <t>Sutahata</t>
  </si>
  <si>
    <t>75.549384086468706</t>
  </si>
  <si>
    <t>02483</t>
  </si>
  <si>
    <t>Haldia</t>
  </si>
  <si>
    <t>299.78044233655874</t>
  </si>
  <si>
    <t>02484</t>
  </si>
  <si>
    <t>Nandigram - I</t>
  </si>
  <si>
    <t>164.77440546445661</t>
  </si>
  <si>
    <t>02485</t>
  </si>
  <si>
    <t>Nandigram - II</t>
  </si>
  <si>
    <t>153.30344929058529</t>
  </si>
  <si>
    <t>02486</t>
  </si>
  <si>
    <t>Khejuri - I</t>
  </si>
  <si>
    <t>128.7321373956089</t>
  </si>
  <si>
    <t>02487</t>
  </si>
  <si>
    <t>Khejuri - II</t>
  </si>
  <si>
    <t>145.60059028374269</t>
  </si>
  <si>
    <t>02488</t>
  </si>
  <si>
    <t>Contai - I</t>
  </si>
  <si>
    <t>162.23711482297361</t>
  </si>
  <si>
    <t>02489</t>
  </si>
  <si>
    <t>Deshopran</t>
  </si>
  <si>
    <t>230.34626789327814</t>
  </si>
  <si>
    <t>02490</t>
  </si>
  <si>
    <t>Contai - III</t>
  </si>
  <si>
    <t>192.34402499784306</t>
  </si>
  <si>
    <t>02491</t>
  </si>
  <si>
    <t>Egra - I</t>
  </si>
  <si>
    <t>210.53990778991064</t>
  </si>
  <si>
    <t>02492</t>
  </si>
  <si>
    <t>Egra - II</t>
  </si>
  <si>
    <t>234.77715824729506</t>
  </si>
  <si>
    <t>02493</t>
  </si>
  <si>
    <t>Ramnagar - I</t>
  </si>
  <si>
    <t>178.16532556506155</t>
  </si>
  <si>
    <t>02494</t>
  </si>
  <si>
    <t>Ramnagar - II</t>
  </si>
  <si>
    <t>158.94580179285532</t>
  </si>
  <si>
    <t>178.91</t>
  </si>
  <si>
    <t>02495</t>
  </si>
  <si>
    <t>Kharaundhi</t>
  </si>
  <si>
    <t>150.88430797904982</t>
  </si>
  <si>
    <t>02496</t>
  </si>
  <si>
    <t>Bhawnathpur</t>
  </si>
  <si>
    <t>248.51410471532131</t>
  </si>
  <si>
    <t>02497</t>
  </si>
  <si>
    <t>Ketar</t>
  </si>
  <si>
    <t>182.87870123058198</t>
  </si>
  <si>
    <t>02498</t>
  </si>
  <si>
    <t>190.69492108030482</t>
  </si>
  <si>
    <t>02499</t>
  </si>
  <si>
    <t>Majhiaon</t>
  </si>
  <si>
    <t>135.283133159003</t>
  </si>
  <si>
    <t>02500</t>
  </si>
  <si>
    <t>Bardiha</t>
  </si>
  <si>
    <t>88.60466821645818</t>
  </si>
  <si>
    <t>02501</t>
  </si>
  <si>
    <t>Ramna</t>
  </si>
  <si>
    <t>121.10972116483892</t>
  </si>
  <si>
    <t>02502</t>
  </si>
  <si>
    <t>Bishunpura</t>
  </si>
  <si>
    <t>96.743958486636231</t>
  </si>
  <si>
    <t>02503</t>
  </si>
  <si>
    <t>Nagaruntari</t>
  </si>
  <si>
    <t>197.34391876580241</t>
  </si>
  <si>
    <t>02504</t>
  </si>
  <si>
    <t>Dhurki</t>
  </si>
  <si>
    <t>234.17394669769644</t>
  </si>
  <si>
    <t>02505</t>
  </si>
  <si>
    <t>Sagma</t>
  </si>
  <si>
    <t>106.05047092103958</t>
  </si>
  <si>
    <t>02506</t>
  </si>
  <si>
    <t>Dandai</t>
  </si>
  <si>
    <t>140.3167787422245</t>
  </si>
  <si>
    <t>02507</t>
  </si>
  <si>
    <t>Chinia</t>
  </si>
  <si>
    <t>280.87325489317385</t>
  </si>
  <si>
    <t>02508</t>
  </si>
  <si>
    <t>Meral (Pipra Kalan)</t>
  </si>
  <si>
    <t>271.92107775862468</t>
  </si>
  <si>
    <t>02509</t>
  </si>
  <si>
    <t>Garhwa</t>
  </si>
  <si>
    <t>258.12284431724726</t>
  </si>
  <si>
    <t>02510</t>
  </si>
  <si>
    <t>Danda</t>
  </si>
  <si>
    <t>31.567106566413997</t>
  </si>
  <si>
    <t>02511</t>
  </si>
  <si>
    <t>Ranka</t>
  </si>
  <si>
    <t>447.78602437738869</t>
  </si>
  <si>
    <t>02512</t>
  </si>
  <si>
    <t>Ramkanda</t>
  </si>
  <si>
    <t>217.16585230469954</t>
  </si>
  <si>
    <t>02513</t>
  </si>
  <si>
    <t>Bhandaria</t>
  </si>
  <si>
    <t>692.96520862349485</t>
  </si>
  <si>
    <t>02514</t>
  </si>
  <si>
    <t>Shaligram Ram Narayanpur(Hunterganj)</t>
  </si>
  <si>
    <t>481.39500674615795</t>
  </si>
  <si>
    <t>02515</t>
  </si>
  <si>
    <t>Pratappur</t>
  </si>
  <si>
    <t>343.80987900793082</t>
  </si>
  <si>
    <t>02516</t>
  </si>
  <si>
    <t>321.3582374428222</t>
  </si>
  <si>
    <t>02517</t>
  </si>
  <si>
    <t>Lawalaung</t>
  </si>
  <si>
    <t>343.01458925221857</t>
  </si>
  <si>
    <t>02518</t>
  </si>
  <si>
    <t>Chatra</t>
  </si>
  <si>
    <t>456.33318341871154</t>
  </si>
  <si>
    <t>02519</t>
  </si>
  <si>
    <t>Kanha Chatti</t>
  </si>
  <si>
    <t>197.34401566424975</t>
  </si>
  <si>
    <t>02520</t>
  </si>
  <si>
    <t>Itkhori</t>
  </si>
  <si>
    <t>171.62964689621887</t>
  </si>
  <si>
    <t>02521</t>
  </si>
  <si>
    <t>Mayur Hand</t>
  </si>
  <si>
    <t>106.83392385068504</t>
  </si>
  <si>
    <t>02522</t>
  </si>
  <si>
    <t>182.94723188135538</t>
  </si>
  <si>
    <t>02523</t>
  </si>
  <si>
    <t>Pathalgora</t>
  </si>
  <si>
    <t>137.18748286037101</t>
  </si>
  <si>
    <t>02524</t>
  </si>
  <si>
    <t>Simaria</t>
  </si>
  <si>
    <t>545.87465309390871</t>
  </si>
  <si>
    <t>02525</t>
  </si>
  <si>
    <t>Tandwa</t>
  </si>
  <si>
    <t>430.27214988537014</t>
  </si>
  <si>
    <t>02526</t>
  </si>
  <si>
    <t>Satgawan</t>
  </si>
  <si>
    <t>485.70635058079495</t>
  </si>
  <si>
    <t>02527</t>
  </si>
  <si>
    <t>Kodarma</t>
  </si>
  <si>
    <t>548.12009723745564</t>
  </si>
  <si>
    <t>02528</t>
  </si>
  <si>
    <t>Domchanch</t>
  </si>
  <si>
    <t>426.64870724213796</t>
  </si>
  <si>
    <t>02529</t>
  </si>
  <si>
    <t>253.04367347200574</t>
  </si>
  <si>
    <t>02530</t>
  </si>
  <si>
    <t>Chandwara</t>
  </si>
  <si>
    <t>407.71767784640844</t>
  </si>
  <si>
    <t>02531</t>
  </si>
  <si>
    <t>Markacho</t>
  </si>
  <si>
    <t>418.76349362119731</t>
  </si>
  <si>
    <t>02532</t>
  </si>
  <si>
    <t>Gawan</t>
  </si>
  <si>
    <t>322.31977789828295</t>
  </si>
  <si>
    <t>02533</t>
  </si>
  <si>
    <t>Tisri</t>
  </si>
  <si>
    <t>454.32284310297541</t>
  </si>
  <si>
    <t>02534</t>
  </si>
  <si>
    <t>Deori</t>
  </si>
  <si>
    <t>441.78327914090522</t>
  </si>
  <si>
    <t>02535</t>
  </si>
  <si>
    <t>Dhanwar</t>
  </si>
  <si>
    <t>346.8898431595058</t>
  </si>
  <si>
    <t>02536</t>
  </si>
  <si>
    <t>Jamua</t>
  </si>
  <si>
    <t>478.02022951348255</t>
  </si>
  <si>
    <t>02537</t>
  </si>
  <si>
    <t>Bengabad</t>
  </si>
  <si>
    <t>416.54831570770847</t>
  </si>
  <si>
    <t>02538</t>
  </si>
  <si>
    <t>Gande</t>
  </si>
  <si>
    <t>369.43404680299574</t>
  </si>
  <si>
    <t>02539</t>
  </si>
  <si>
    <t>Giridih</t>
  </si>
  <si>
    <t>408.54875957614757</t>
  </si>
  <si>
    <t>02540</t>
  </si>
  <si>
    <t>Birni</t>
  </si>
  <si>
    <t>339.7006316750381</t>
  </si>
  <si>
    <t>02541</t>
  </si>
  <si>
    <t>Bagodar</t>
  </si>
  <si>
    <t>332.50103115663325</t>
  </si>
  <si>
    <t>02542</t>
  </si>
  <si>
    <t>Sariya</t>
  </si>
  <si>
    <t>242.80211214377991</t>
  </si>
  <si>
    <t>02543</t>
  </si>
  <si>
    <t>Dumri</t>
  </si>
  <si>
    <t>418.44950891819633</t>
  </si>
  <si>
    <t>02544</t>
  </si>
  <si>
    <t>Pirtanr</t>
  </si>
  <si>
    <t>390.67962120434913</t>
  </si>
  <si>
    <t>02545</t>
  </si>
  <si>
    <t>Deoghar</t>
  </si>
  <si>
    <t>337.58554959527305</t>
  </si>
  <si>
    <t>02546</t>
  </si>
  <si>
    <t>358.75595783972562</t>
  </si>
  <si>
    <t>02547</t>
  </si>
  <si>
    <t>Sarwan</t>
  </si>
  <si>
    <t>166.24112343647275</t>
  </si>
  <si>
    <t>02548</t>
  </si>
  <si>
    <t>Sona Rai Tharhi</t>
  </si>
  <si>
    <t>139.54213724283196</t>
  </si>
  <si>
    <t>02549</t>
  </si>
  <si>
    <t>Devipur</t>
  </si>
  <si>
    <t>260.15434060711129</t>
  </si>
  <si>
    <t>02550</t>
  </si>
  <si>
    <t>Madhupur</t>
  </si>
  <si>
    <t>273.93948149730113</t>
  </si>
  <si>
    <t>02551</t>
  </si>
  <si>
    <t>Margo Munda</t>
  </si>
  <si>
    <t>174.47694124445673</t>
  </si>
  <si>
    <t>02552</t>
  </si>
  <si>
    <t>Karon</t>
  </si>
  <si>
    <t>141.7100036431703</t>
  </si>
  <si>
    <t>02553</t>
  </si>
  <si>
    <t>Sarath</t>
  </si>
  <si>
    <t>322.25489629527266</t>
  </si>
  <si>
    <t>02554</t>
  </si>
  <si>
    <t>Palojori</t>
  </si>
  <si>
    <t>302.33956859838446</t>
  </si>
  <si>
    <t>02555</t>
  </si>
  <si>
    <t>Meherma</t>
  </si>
  <si>
    <t>125.1083085278518</t>
  </si>
  <si>
    <t>02556</t>
  </si>
  <si>
    <t>Thakurgangti</t>
  </si>
  <si>
    <t>82.965138908167148</t>
  </si>
  <si>
    <t>02557</t>
  </si>
  <si>
    <t>Boarijor</t>
  </si>
  <si>
    <t>388.03757758929584</t>
  </si>
  <si>
    <t>02558</t>
  </si>
  <si>
    <t>Mahagama</t>
  </si>
  <si>
    <t>159.55314550903569</t>
  </si>
  <si>
    <t>02559</t>
  </si>
  <si>
    <t>Pathargama</t>
  </si>
  <si>
    <t>164.9523815082004</t>
  </si>
  <si>
    <t>02560</t>
  </si>
  <si>
    <t>Bashant Rai</t>
  </si>
  <si>
    <t>80.905314769757467</t>
  </si>
  <si>
    <t>02561</t>
  </si>
  <si>
    <t>Godda</t>
  </si>
  <si>
    <t>355.46530800666619</t>
  </si>
  <si>
    <t>02562</t>
  </si>
  <si>
    <t>Poreyahat</t>
  </si>
  <si>
    <t>475.53849086284993</t>
  </si>
  <si>
    <t>02563</t>
  </si>
  <si>
    <t>Sundarpahari</t>
  </si>
  <si>
    <t>433.47854646087882</t>
  </si>
  <si>
    <t>02564</t>
  </si>
  <si>
    <t>Sahibganj</t>
  </si>
  <si>
    <t>179.84597435666853</t>
  </si>
  <si>
    <t>02565</t>
  </si>
  <si>
    <t>Mandro</t>
  </si>
  <si>
    <t>216.8521225086732</t>
  </si>
  <si>
    <t>02566</t>
  </si>
  <si>
    <t>Borio</t>
  </si>
  <si>
    <t>367.20058405077549</t>
  </si>
  <si>
    <t>02567</t>
  </si>
  <si>
    <t>Barhait</t>
  </si>
  <si>
    <t>352.00755858256463</t>
  </si>
  <si>
    <t>02568</t>
  </si>
  <si>
    <t>Taljhari</t>
  </si>
  <si>
    <t>254.7956295584595</t>
  </si>
  <si>
    <t>02569</t>
  </si>
  <si>
    <t>Rajmahal</t>
  </si>
  <si>
    <t>245.33416318397599</t>
  </si>
  <si>
    <t>02570</t>
  </si>
  <si>
    <t>Udhwa</t>
  </si>
  <si>
    <t>92.036926775935598</t>
  </si>
  <si>
    <t>02571</t>
  </si>
  <si>
    <t>Pathna</t>
  </si>
  <si>
    <t>176.30158602443169</t>
  </si>
  <si>
    <t>02572</t>
  </si>
  <si>
    <t>Barharwa</t>
  </si>
  <si>
    <t>178.62545495851535</t>
  </si>
  <si>
    <t>02573</t>
  </si>
  <si>
    <t>Litipara</t>
  </si>
  <si>
    <t>414.18907611319281</t>
  </si>
  <si>
    <t>02574</t>
  </si>
  <si>
    <t>Amrapara</t>
  </si>
  <si>
    <t>268.95854118296131</t>
  </si>
  <si>
    <t>02575</t>
  </si>
  <si>
    <t>Hiranpur</t>
  </si>
  <si>
    <t>173.76874094848395</t>
  </si>
  <si>
    <t>02576</t>
  </si>
  <si>
    <t>Pakaur</t>
  </si>
  <si>
    <t>225.03759683685433</t>
  </si>
  <si>
    <t>02577</t>
  </si>
  <si>
    <t>Maheshpur</t>
  </si>
  <si>
    <t>444.61109514723802</t>
  </si>
  <si>
    <t>02578</t>
  </si>
  <si>
    <t>Pakuria</t>
  </si>
  <si>
    <t>284.43494977126966</t>
  </si>
  <si>
    <t>02579</t>
  </si>
  <si>
    <t>Tundi</t>
  </si>
  <si>
    <t>264.30721328489881</t>
  </si>
  <si>
    <t>02580</t>
  </si>
  <si>
    <t>Purbi Tundi</t>
  </si>
  <si>
    <t>124.82615464452516</t>
  </si>
  <si>
    <t>02581</t>
  </si>
  <si>
    <t>Topchanchi</t>
  </si>
  <si>
    <t>180.50856253243381</t>
  </si>
  <si>
    <t>02582</t>
  </si>
  <si>
    <t>Baghmara-Cum-Katras</t>
  </si>
  <si>
    <t>262.13</t>
  </si>
  <si>
    <t>02583</t>
  </si>
  <si>
    <t>Gobindpur</t>
  </si>
  <si>
    <t>306.39999999999998</t>
  </si>
  <si>
    <t>02584</t>
  </si>
  <si>
    <t>Dhanbad-Cum-Kenduadih-Cum-Jagata</t>
  </si>
  <si>
    <t>293.95999999999998</t>
  </si>
  <si>
    <t>02586</t>
  </si>
  <si>
    <t>Baliapur</t>
  </si>
  <si>
    <t>02587</t>
  </si>
  <si>
    <t>Nirsa-Cum-Chirkunda</t>
  </si>
  <si>
    <t>454.87285936689153</t>
  </si>
  <si>
    <t>355</t>
  </si>
  <si>
    <t>02588</t>
  </si>
  <si>
    <t>Nawadih</t>
  </si>
  <si>
    <t>314.39468614718618</t>
  </si>
  <si>
    <t>02589</t>
  </si>
  <si>
    <t>Chandrapura</t>
  </si>
  <si>
    <t>120.85303030303031</t>
  </si>
  <si>
    <t>02590</t>
  </si>
  <si>
    <t>Bermo</t>
  </si>
  <si>
    <t>97.701666666666668</t>
  </si>
  <si>
    <t>02591</t>
  </si>
  <si>
    <t>Gumia</t>
  </si>
  <si>
    <t>677.16178571428577</t>
  </si>
  <si>
    <t>02592</t>
  </si>
  <si>
    <t>Peterwar</t>
  </si>
  <si>
    <t>319.00207792207794</t>
  </si>
  <si>
    <t>02593</t>
  </si>
  <si>
    <t>Kasmar</t>
  </si>
  <si>
    <t>200.18753246753246</t>
  </si>
  <si>
    <t>02594</t>
  </si>
  <si>
    <t>Jaridih</t>
  </si>
  <si>
    <t>201.33158008658009</t>
  </si>
  <si>
    <t>02595</t>
  </si>
  <si>
    <t>Chas</t>
  </si>
  <si>
    <t>576.78720779220782</t>
  </si>
  <si>
    <t>02596</t>
  </si>
  <si>
    <t>Chandankiyari</t>
  </si>
  <si>
    <t>375.58043290043292</t>
  </si>
  <si>
    <t>356</t>
  </si>
  <si>
    <t>02597</t>
  </si>
  <si>
    <t>Kisko</t>
  </si>
  <si>
    <t>241.40045166057777</t>
  </si>
  <si>
    <t>02598</t>
  </si>
  <si>
    <t>Peshrar</t>
  </si>
  <si>
    <t>396.32120387571734</t>
  </si>
  <si>
    <t>02599</t>
  </si>
  <si>
    <t>Kuru</t>
  </si>
  <si>
    <t>208.78774024682491</t>
  </si>
  <si>
    <t>02600</t>
  </si>
  <si>
    <t>Kairo</t>
  </si>
  <si>
    <t>154.12203122949745</t>
  </si>
  <si>
    <t>02601</t>
  </si>
  <si>
    <t>Lohardaga</t>
  </si>
  <si>
    <t>138.59365050863613</t>
  </si>
  <si>
    <t>02602</t>
  </si>
  <si>
    <t>Senha</t>
  </si>
  <si>
    <t>200.20926940103178</t>
  </si>
  <si>
    <t>02603</t>
  </si>
  <si>
    <t>Bhandra</t>
  </si>
  <si>
    <t>162.56565307771461</t>
  </si>
  <si>
    <t>02604</t>
  </si>
  <si>
    <t>Patamda</t>
  </si>
  <si>
    <t>220.29262771203443</t>
  </si>
  <si>
    <t>02605</t>
  </si>
  <si>
    <t>Boram</t>
  </si>
  <si>
    <t>279.06163754526153</t>
  </si>
  <si>
    <t>02606</t>
  </si>
  <si>
    <t>Golmuri-Cum-Jugsalai</t>
  </si>
  <si>
    <t>352.72865908944669</t>
  </si>
  <si>
    <t>02607</t>
  </si>
  <si>
    <t>Ghatshila</t>
  </si>
  <si>
    <t>347.64458236570715</t>
  </si>
  <si>
    <t>02608</t>
  </si>
  <si>
    <t>Potka</t>
  </si>
  <si>
    <t>609.94335218863887</t>
  </si>
  <si>
    <t>02609</t>
  </si>
  <si>
    <t>Musabani</t>
  </si>
  <si>
    <t>239.35791542605776</t>
  </si>
  <si>
    <t>02610</t>
  </si>
  <si>
    <t>328.33967628150759</t>
  </si>
  <si>
    <t>02611</t>
  </si>
  <si>
    <t>Dhalbhumgarh</t>
  </si>
  <si>
    <t>178.76572234148966</t>
  </si>
  <si>
    <t>02612</t>
  </si>
  <si>
    <t>Gurbandha</t>
  </si>
  <si>
    <t>224.76203122532189</t>
  </si>
  <si>
    <t>02613</t>
  </si>
  <si>
    <t>Chakulia</t>
  </si>
  <si>
    <t>429.33361021579287</t>
  </si>
  <si>
    <t>02614</t>
  </si>
  <si>
    <t>Baharagora</t>
  </si>
  <si>
    <t>351.77018560874166</t>
  </si>
  <si>
    <t>02615</t>
  </si>
  <si>
    <t>Hussainabad</t>
  </si>
  <si>
    <t>255.40372486283465</t>
  </si>
  <si>
    <t>02616</t>
  </si>
  <si>
    <t>Haidernagar</t>
  </si>
  <si>
    <t>140.8148933210413</t>
  </si>
  <si>
    <t>02617</t>
  </si>
  <si>
    <t>Mohammad Ganj</t>
  </si>
  <si>
    <t>100.8854035268071</t>
  </si>
  <si>
    <t>02618</t>
  </si>
  <si>
    <t>Hariharganj</t>
  </si>
  <si>
    <t>138.69153523859825</t>
  </si>
  <si>
    <t>02619</t>
  </si>
  <si>
    <t>80.47009240243986</t>
  </si>
  <si>
    <t>02620</t>
  </si>
  <si>
    <t>Chhatarpur</t>
  </si>
  <si>
    <t>408.87590392409754</t>
  </si>
  <si>
    <t>02621</t>
  </si>
  <si>
    <t>Nawadiha Bazar/Nawadiha</t>
  </si>
  <si>
    <t>254.09863648045499</t>
  </si>
  <si>
    <t>02622</t>
  </si>
  <si>
    <t>Pandu</t>
  </si>
  <si>
    <t>159.75939055415532</t>
  </si>
  <si>
    <t>02623</t>
  </si>
  <si>
    <t>Untari Road</t>
  </si>
  <si>
    <t>77.735621506025382</t>
  </si>
  <si>
    <t>02624</t>
  </si>
  <si>
    <t>Bishrampur</t>
  </si>
  <si>
    <t>181.91481952169536</t>
  </si>
  <si>
    <t>02625</t>
  </si>
  <si>
    <t>Nawa Bazar</t>
  </si>
  <si>
    <t>163.33284683924239</t>
  </si>
  <si>
    <t>02626</t>
  </si>
  <si>
    <t>Patan</t>
  </si>
  <si>
    <t>306.82006399087061</t>
  </si>
  <si>
    <t>02627</t>
  </si>
  <si>
    <t>Padwa</t>
  </si>
  <si>
    <t>102.77053119024436</t>
  </si>
  <si>
    <t>02628</t>
  </si>
  <si>
    <t>Manatu</t>
  </si>
  <si>
    <t>268.70319694994146</t>
  </si>
  <si>
    <t>02629</t>
  </si>
  <si>
    <t>Tarhasi</t>
  </si>
  <si>
    <t>212.59475435192152</t>
  </si>
  <si>
    <t>02630</t>
  </si>
  <si>
    <t>Panki</t>
  </si>
  <si>
    <t>436.45884330724817</t>
  </si>
  <si>
    <t>02631</t>
  </si>
  <si>
    <t>Satbarwa</t>
  </si>
  <si>
    <t>120.25457237640968</t>
  </si>
  <si>
    <t>02632</t>
  </si>
  <si>
    <t>Nilambar-Pitambarpur(Lesliganj)</t>
  </si>
  <si>
    <t>178.45529952395887</t>
  </si>
  <si>
    <t>02633</t>
  </si>
  <si>
    <t>Medininagar(Daltonganj)</t>
  </si>
  <si>
    <t>154.41474289298154</t>
  </si>
  <si>
    <t>02634</t>
  </si>
  <si>
    <t>650.54512723903224</t>
  </si>
  <si>
    <t>02635</t>
  </si>
  <si>
    <t>Manika</t>
  </si>
  <si>
    <t>403.1732087773928</t>
  </si>
  <si>
    <t>02636</t>
  </si>
  <si>
    <t>Barwadih</t>
  </si>
  <si>
    <t>682.24325931123872</t>
  </si>
  <si>
    <t>02637</t>
  </si>
  <si>
    <t>Mahuadanr</t>
  </si>
  <si>
    <t>661.70925739124493</t>
  </si>
  <si>
    <t>02638</t>
  </si>
  <si>
    <t>Garu</t>
  </si>
  <si>
    <t>507.64151182453008</t>
  </si>
  <si>
    <t>02639</t>
  </si>
  <si>
    <t>Latehar</t>
  </si>
  <si>
    <t>485.33012684628835</t>
  </si>
  <si>
    <t>02640</t>
  </si>
  <si>
    <t>Balumath</t>
  </si>
  <si>
    <t>259.5188368931187</t>
  </si>
  <si>
    <t>02641</t>
  </si>
  <si>
    <t>Bariyatu</t>
  </si>
  <si>
    <t>297.18890253351458</t>
  </si>
  <si>
    <t>02642</t>
  </si>
  <si>
    <t>Herhanj</t>
  </si>
  <si>
    <t>399.90073291132455</t>
  </si>
  <si>
    <t>02643</t>
  </si>
  <si>
    <t>Chandwa</t>
  </si>
  <si>
    <t>594.29416351134694</t>
  </si>
  <si>
    <t>360</t>
  </si>
  <si>
    <t>02644</t>
  </si>
  <si>
    <t>Chauparan</t>
  </si>
  <si>
    <t>387.8799660664572</t>
  </si>
  <si>
    <t>02645</t>
  </si>
  <si>
    <t>Barhi</t>
  </si>
  <si>
    <t>292.30745701552104</t>
  </si>
  <si>
    <t>02646</t>
  </si>
  <si>
    <t>Padma</t>
  </si>
  <si>
    <t>107.22810748808145</t>
  </si>
  <si>
    <t>02647</t>
  </si>
  <si>
    <t>Ichak</t>
  </si>
  <si>
    <t>238.27713189872514</t>
  </si>
  <si>
    <t>02648</t>
  </si>
  <si>
    <t>Tati Jhariya</t>
  </si>
  <si>
    <t>157.83481294731936</t>
  </si>
  <si>
    <t>02649</t>
  </si>
  <si>
    <t>Daru</t>
  </si>
  <si>
    <t>134.17530737337651</t>
  </si>
  <si>
    <t>02650</t>
  </si>
  <si>
    <t>Barkatha</t>
  </si>
  <si>
    <t>228.74536699604508</t>
  </si>
  <si>
    <t>02651</t>
  </si>
  <si>
    <t>Chalkusa</t>
  </si>
  <si>
    <t>138.89871315402723</t>
  </si>
  <si>
    <t>02652</t>
  </si>
  <si>
    <t>Bishungarh</t>
  </si>
  <si>
    <t>354.4763122363878</t>
  </si>
  <si>
    <t>02653</t>
  </si>
  <si>
    <t>Hazaribag</t>
  </si>
  <si>
    <t>193.65963700667919</t>
  </si>
  <si>
    <t>02654</t>
  </si>
  <si>
    <t>Katkamsandi</t>
  </si>
  <si>
    <t>258.96327052441666</t>
  </si>
  <si>
    <t>02655</t>
  </si>
  <si>
    <t>Katamdag</t>
  </si>
  <si>
    <t>120.9395767865891</t>
  </si>
  <si>
    <t>02656</t>
  </si>
  <si>
    <t>Keredari</t>
  </si>
  <si>
    <t>312.08459488846142</t>
  </si>
  <si>
    <t>02657</t>
  </si>
  <si>
    <t>Barkagaon</t>
  </si>
  <si>
    <t>363.70224511010485</t>
  </si>
  <si>
    <t>02658</t>
  </si>
  <si>
    <t>Churchu</t>
  </si>
  <si>
    <t>149.39045081428554</t>
  </si>
  <si>
    <t>02659</t>
  </si>
  <si>
    <t>Dadi</t>
  </si>
  <si>
    <t>116.43704969352277</t>
  </si>
  <si>
    <t>02660</t>
  </si>
  <si>
    <t>Patratu</t>
  </si>
  <si>
    <t>308.1749229695281</t>
  </si>
  <si>
    <t>02661</t>
  </si>
  <si>
    <t>Mandu</t>
  </si>
  <si>
    <t>410.46294006841811</t>
  </si>
  <si>
    <t>02662</t>
  </si>
  <si>
    <t>133.9290570193254</t>
  </si>
  <si>
    <t>02663</t>
  </si>
  <si>
    <t>Dulmi</t>
  </si>
  <si>
    <t>109.74297432239551</t>
  </si>
  <si>
    <t>02664</t>
  </si>
  <si>
    <t>Chitarpur</t>
  </si>
  <si>
    <t>57.698366913735065</t>
  </si>
  <si>
    <t>02665</t>
  </si>
  <si>
    <t>Gola</t>
  </si>
  <si>
    <t>320.99344673236095</t>
  </si>
  <si>
    <t>362</t>
  </si>
  <si>
    <t>02666</t>
  </si>
  <si>
    <t>Saraiyahat</t>
  </si>
  <si>
    <t>313.04878742601795</t>
  </si>
  <si>
    <t>02667</t>
  </si>
  <si>
    <t>Jarmundi</t>
  </si>
  <si>
    <t>470</t>
  </si>
  <si>
    <t>400.88276932509575</t>
  </si>
  <si>
    <t>02668</t>
  </si>
  <si>
    <t>475.41077548946231</t>
  </si>
  <si>
    <t>02669</t>
  </si>
  <si>
    <t>Gopikandar</t>
  </si>
  <si>
    <t>231.71717930518312</t>
  </si>
  <si>
    <t>02670</t>
  </si>
  <si>
    <t>Kathikund</t>
  </si>
  <si>
    <t>329.70982183544567</t>
  </si>
  <si>
    <t>02671</t>
  </si>
  <si>
    <t>Shikaripara</t>
  </si>
  <si>
    <t>455.45700547667514</t>
  </si>
  <si>
    <t>02672</t>
  </si>
  <si>
    <t>Ranishwar</t>
  </si>
  <si>
    <t>339.42183378857214</t>
  </si>
  <si>
    <t>02673</t>
  </si>
  <si>
    <t>Dumka</t>
  </si>
  <si>
    <t>378.76846617193388</t>
  </si>
  <si>
    <t>02674</t>
  </si>
  <si>
    <t>Jama</t>
  </si>
  <si>
    <t>371.77789500139471</t>
  </si>
  <si>
    <t>02675</t>
  </si>
  <si>
    <t>Masalia</t>
  </si>
  <si>
    <t>464.80546618021936</t>
  </si>
  <si>
    <t>02676</t>
  </si>
  <si>
    <t>267.72360164805258</t>
  </si>
  <si>
    <t>02677</t>
  </si>
  <si>
    <t>Karma Tanr Vidyasagar</t>
  </si>
  <si>
    <t>180.0528912548923</t>
  </si>
  <si>
    <t>02678</t>
  </si>
  <si>
    <t>Jamtara</t>
  </si>
  <si>
    <t>368.6362422568464</t>
  </si>
  <si>
    <t>02679</t>
  </si>
  <si>
    <t>Nala</t>
  </si>
  <si>
    <t>365.67860110366803</t>
  </si>
  <si>
    <t>02680</t>
  </si>
  <si>
    <t>342.82693156226901</t>
  </si>
  <si>
    <t>02681</t>
  </si>
  <si>
    <t>Kundhit</t>
  </si>
  <si>
    <t>286.08173217427185</t>
  </si>
  <si>
    <t>02682</t>
  </si>
  <si>
    <t>Burmu</t>
  </si>
  <si>
    <t>323.03802309837715</t>
  </si>
  <si>
    <t>02683</t>
  </si>
  <si>
    <t>Khelari</t>
  </si>
  <si>
    <t>135.13893343150039</t>
  </si>
  <si>
    <t>02684</t>
  </si>
  <si>
    <t>Kanke</t>
  </si>
  <si>
    <t>432.39582332424453</t>
  </si>
  <si>
    <t>02685</t>
  </si>
  <si>
    <t>Ormanjhi</t>
  </si>
  <si>
    <t>235.00902221861722</t>
  </si>
  <si>
    <t>02686</t>
  </si>
  <si>
    <t>Angara</t>
  </si>
  <si>
    <t>406.30726706640621</t>
  </si>
  <si>
    <t>02687</t>
  </si>
  <si>
    <t>Rahe</t>
  </si>
  <si>
    <t>179.51386089810384</t>
  </si>
  <si>
    <t>02688</t>
  </si>
  <si>
    <t>Silli</t>
  </si>
  <si>
    <t>303.60676604001969</t>
  </si>
  <si>
    <t>02689</t>
  </si>
  <si>
    <t>Sonahatu</t>
  </si>
  <si>
    <t>303.95659227183955</t>
  </si>
  <si>
    <t>02690</t>
  </si>
  <si>
    <t>Namkum</t>
  </si>
  <si>
    <t>496.3610197727599</t>
  </si>
  <si>
    <t>02691</t>
  </si>
  <si>
    <t>Ratu</t>
  </si>
  <si>
    <t>108.82776048068584</t>
  </si>
  <si>
    <t>02692</t>
  </si>
  <si>
    <t>Nagri</t>
  </si>
  <si>
    <t>156.16030972540261</t>
  </si>
  <si>
    <t>02693</t>
  </si>
  <si>
    <t>Mandar</t>
  </si>
  <si>
    <t>242.302369112316</t>
  </si>
  <si>
    <t>02694</t>
  </si>
  <si>
    <t>Chanho</t>
  </si>
  <si>
    <t>282.55358736140664</t>
  </si>
  <si>
    <t>02695</t>
  </si>
  <si>
    <t>Bero</t>
  </si>
  <si>
    <t>296.88586207111706</t>
  </si>
  <si>
    <t>02696</t>
  </si>
  <si>
    <t>Itki</t>
  </si>
  <si>
    <t>100.05030230047856</t>
  </si>
  <si>
    <t>02697</t>
  </si>
  <si>
    <t>Lapung</t>
  </si>
  <si>
    <t>310.16865808536789</t>
  </si>
  <si>
    <t>02698</t>
  </si>
  <si>
    <t>Bundu</t>
  </si>
  <si>
    <t>263.93859151062884</t>
  </si>
  <si>
    <t>02699</t>
  </si>
  <si>
    <t>Tamar I</t>
  </si>
  <si>
    <t>520.78525123072791</t>
  </si>
  <si>
    <t>02700</t>
  </si>
  <si>
    <t>Karra</t>
  </si>
  <si>
    <t>500.16906353913583</t>
  </si>
  <si>
    <t>02701</t>
  </si>
  <si>
    <t>Torpa</t>
  </si>
  <si>
    <t>433.91316159970535</t>
  </si>
  <si>
    <t>02702</t>
  </si>
  <si>
    <t>257.34408275176332</t>
  </si>
  <si>
    <t>02703</t>
  </si>
  <si>
    <t>Murhu</t>
  </si>
  <si>
    <t>379.85650511244887</t>
  </si>
  <si>
    <t>02704</t>
  </si>
  <si>
    <t>Khunti</t>
  </si>
  <si>
    <t>463.89130739119531</t>
  </si>
  <si>
    <t>02705</t>
  </si>
  <si>
    <t>Erki(Tamar II)</t>
  </si>
  <si>
    <t>499.8290845675179</t>
  </si>
  <si>
    <t>02706</t>
  </si>
  <si>
    <t>Bishunpur</t>
  </si>
  <si>
    <t>620.69482707035684</t>
  </si>
  <si>
    <t>02707</t>
  </si>
  <si>
    <t>Ghaghra</t>
  </si>
  <si>
    <t>538.09518998752719</t>
  </si>
  <si>
    <t>02708</t>
  </si>
  <si>
    <t>Sisai</t>
  </si>
  <si>
    <t>427.03554179181606</t>
  </si>
  <si>
    <t>02709</t>
  </si>
  <si>
    <t>Verno</t>
  </si>
  <si>
    <t>302.07391231703571</t>
  </si>
  <si>
    <t>02710</t>
  </si>
  <si>
    <t>Kamdara</t>
  </si>
  <si>
    <t>367.47049840883744</t>
  </si>
  <si>
    <t>02711</t>
  </si>
  <si>
    <t>Basia</t>
  </si>
  <si>
    <t>405.71917049724317</t>
  </si>
  <si>
    <t>02712</t>
  </si>
  <si>
    <t>Gumla</t>
  </si>
  <si>
    <t>544.30161758477459</t>
  </si>
  <si>
    <t>02713</t>
  </si>
  <si>
    <t>471.13658352729067</t>
  </si>
  <si>
    <t>02714</t>
  </si>
  <si>
    <t>374.74951332574341</t>
  </si>
  <si>
    <t>02715</t>
  </si>
  <si>
    <t>Albert Ekka(Jari)</t>
  </si>
  <si>
    <t>213.97596353731555</t>
  </si>
  <si>
    <t>02716</t>
  </si>
  <si>
    <t>Raidih</t>
  </si>
  <si>
    <t>515.60209668206664</t>
  </si>
  <si>
    <t>02717</t>
  </si>
  <si>
    <t>Palkot</t>
  </si>
  <si>
    <t>579.14508526999248</t>
  </si>
  <si>
    <t>02718</t>
  </si>
  <si>
    <t>Simdega</t>
  </si>
  <si>
    <t>545.6541517392069</t>
  </si>
  <si>
    <t>02719</t>
  </si>
  <si>
    <t>Pakar Tanr</t>
  </si>
  <si>
    <t>226.70695276411834</t>
  </si>
  <si>
    <t>02720</t>
  </si>
  <si>
    <t>Kurdeg</t>
  </si>
  <si>
    <t>274.71144207323619</t>
  </si>
  <si>
    <t>02721</t>
  </si>
  <si>
    <t>Kersai</t>
  </si>
  <si>
    <t>252.89027321790957</t>
  </si>
  <si>
    <t>02722</t>
  </si>
  <si>
    <t>Bolba</t>
  </si>
  <si>
    <t>292.95127405536027</t>
  </si>
  <si>
    <t>02723</t>
  </si>
  <si>
    <t>Thethaitangar</t>
  </si>
  <si>
    <t>611.22176693522169</t>
  </si>
  <si>
    <t>02724</t>
  </si>
  <si>
    <t>Kolebira</t>
  </si>
  <si>
    <t>438.99486026839543</t>
  </si>
  <si>
    <t>02725</t>
  </si>
  <si>
    <t>Jaldega</t>
  </si>
  <si>
    <t>339.66481635204468</t>
  </si>
  <si>
    <t>02726</t>
  </si>
  <si>
    <t>Bansjor</t>
  </si>
  <si>
    <t>257.53351811746859</t>
  </si>
  <si>
    <t>02727</t>
  </si>
  <si>
    <t>Bano</t>
  </si>
  <si>
    <t>533.67124842218357</t>
  </si>
  <si>
    <t>02728</t>
  </si>
  <si>
    <t>Sonua</t>
  </si>
  <si>
    <t>201.8962125206551</t>
  </si>
  <si>
    <t>02729</t>
  </si>
  <si>
    <t>Gudri</t>
  </si>
  <si>
    <t>611.85673663295586</t>
  </si>
  <si>
    <t>02730</t>
  </si>
  <si>
    <t>Bandgaon</t>
  </si>
  <si>
    <t>487.85094689260387</t>
  </si>
  <si>
    <t>02731</t>
  </si>
  <si>
    <t>Chakradharpur</t>
  </si>
  <si>
    <t>394.88294860543493</t>
  </si>
  <si>
    <t>02732</t>
  </si>
  <si>
    <t>Khuntpani</t>
  </si>
  <si>
    <t>415.87940705921085</t>
  </si>
  <si>
    <t>02733</t>
  </si>
  <si>
    <t>Goilkera</t>
  </si>
  <si>
    <t>534.2778340077532</t>
  </si>
  <si>
    <t>02734</t>
  </si>
  <si>
    <t>Anandpur</t>
  </si>
  <si>
    <t>308.06228137891657</t>
  </si>
  <si>
    <t>02735</t>
  </si>
  <si>
    <t>Manoharpur</t>
  </si>
  <si>
    <t>968.09041799558463</t>
  </si>
  <si>
    <t>02736</t>
  </si>
  <si>
    <t>Noamundi</t>
  </si>
  <si>
    <t>612.67707304138719</t>
  </si>
  <si>
    <t>02737</t>
  </si>
  <si>
    <t>Tonto</t>
  </si>
  <si>
    <t>643.24758426191954</t>
  </si>
  <si>
    <t>02738</t>
  </si>
  <si>
    <t>Hat Gamharia</t>
  </si>
  <si>
    <t>296.41142757815663</t>
  </si>
  <si>
    <t>02739</t>
  </si>
  <si>
    <t>Chaibasa</t>
  </si>
  <si>
    <t>210.33840872387952</t>
  </si>
  <si>
    <t>02740</t>
  </si>
  <si>
    <t>Tantnagar</t>
  </si>
  <si>
    <t>204.07685360635881</t>
  </si>
  <si>
    <t>02741</t>
  </si>
  <si>
    <t>Manjhari</t>
  </si>
  <si>
    <t>319.73390319001652</t>
  </si>
  <si>
    <t>02742</t>
  </si>
  <si>
    <t>Jhinkpani</t>
  </si>
  <si>
    <t>124.10962979205213</t>
  </si>
  <si>
    <t>02743</t>
  </si>
  <si>
    <t>Jagannathpur</t>
  </si>
  <si>
    <t>312.08089137971342</t>
  </si>
  <si>
    <t>02744</t>
  </si>
  <si>
    <t>Kumardungi</t>
  </si>
  <si>
    <t>294.01272238388253</t>
  </si>
  <si>
    <t>02745</t>
  </si>
  <si>
    <t>Majhgaon</t>
  </si>
  <si>
    <t>284.51135765331628</t>
  </si>
  <si>
    <t>02746</t>
  </si>
  <si>
    <t>Kuchai</t>
  </si>
  <si>
    <t>380.93076438314262</t>
  </si>
  <si>
    <t>02747</t>
  </si>
  <si>
    <t>Kharsawan</t>
  </si>
  <si>
    <t>239.19149945660865</t>
  </si>
  <si>
    <t>02748</t>
  </si>
  <si>
    <t>Chandil</t>
  </si>
  <si>
    <t>371.56455068616572</t>
  </si>
  <si>
    <t>02749</t>
  </si>
  <si>
    <t>Ichagarh</t>
  </si>
  <si>
    <t>267.21745374501268</t>
  </si>
  <si>
    <t>02750</t>
  </si>
  <si>
    <t>Kukru</t>
  </si>
  <si>
    <t>153.46260779115343</t>
  </si>
  <si>
    <t>02751</t>
  </si>
  <si>
    <t>Nimdih</t>
  </si>
  <si>
    <t>228.69344840600607</t>
  </si>
  <si>
    <t>02752</t>
  </si>
  <si>
    <t>Adityapur(Gamharia)</t>
  </si>
  <si>
    <t>342.73904156997099</t>
  </si>
  <si>
    <t>02753</t>
  </si>
  <si>
    <t>Saraikela</t>
  </si>
  <si>
    <t>262.17091288389213</t>
  </si>
  <si>
    <t>02754</t>
  </si>
  <si>
    <t>Gobindpur(Rajnagar)</t>
  </si>
  <si>
    <t>411.03348445801595</t>
  </si>
  <si>
    <t>02755</t>
  </si>
  <si>
    <t>Paikamal</t>
  </si>
  <si>
    <t>594.36560256676592</t>
  </si>
  <si>
    <t>02756</t>
  </si>
  <si>
    <t>Jharbandha</t>
  </si>
  <si>
    <t>635.427809708469</t>
  </si>
  <si>
    <t>02757</t>
  </si>
  <si>
    <t>Padmapur</t>
  </si>
  <si>
    <t>307.48980910832586</t>
  </si>
  <si>
    <t>02758</t>
  </si>
  <si>
    <t>BurdenP.S.</t>
  </si>
  <si>
    <t>222.67075225630728</t>
  </si>
  <si>
    <t>02759</t>
  </si>
  <si>
    <t>Gaisilet</t>
  </si>
  <si>
    <t>321.69886665281717</t>
  </si>
  <si>
    <t>02760</t>
  </si>
  <si>
    <t>Melchhamunda</t>
  </si>
  <si>
    <t>288.06765459455715</t>
  </si>
  <si>
    <t>02761</t>
  </si>
  <si>
    <t>Sohela</t>
  </si>
  <si>
    <t>444.76111995937492</t>
  </si>
  <si>
    <t>02762</t>
  </si>
  <si>
    <t>Bijepur</t>
  </si>
  <si>
    <t>322.18597511714336</t>
  </si>
  <si>
    <t>02763</t>
  </si>
  <si>
    <t>Barapali</t>
  </si>
  <si>
    <t>285.80830044087435</t>
  </si>
  <si>
    <t>02764</t>
  </si>
  <si>
    <t>Bheden</t>
  </si>
  <si>
    <t>370.62735729289295</t>
  </si>
  <si>
    <t>02765</t>
  </si>
  <si>
    <t>Bargarh</t>
  </si>
  <si>
    <t>175.56632735498465</t>
  </si>
  <si>
    <t>02766</t>
  </si>
  <si>
    <t>Bargarh Sadar</t>
  </si>
  <si>
    <t>207.49784179304297</t>
  </si>
  <si>
    <t>02767</t>
  </si>
  <si>
    <t>Bhatli</t>
  </si>
  <si>
    <t>426.70701474967115</t>
  </si>
  <si>
    <t>02768</t>
  </si>
  <si>
    <t>Ambabhona</t>
  </si>
  <si>
    <t>604.84361655471696</t>
  </si>
  <si>
    <t>02769</t>
  </si>
  <si>
    <t>Attabira</t>
  </si>
  <si>
    <t>629.28195185005654</t>
  </si>
  <si>
    <t>371</t>
  </si>
  <si>
    <t>02770</t>
  </si>
  <si>
    <t>Rengali</t>
  </si>
  <si>
    <t>310.02677682755956</t>
  </si>
  <si>
    <t>02771</t>
  </si>
  <si>
    <t>Lakhanpur</t>
  </si>
  <si>
    <t>368.12424022805197</t>
  </si>
  <si>
    <t>02772</t>
  </si>
  <si>
    <t>Belpahar</t>
  </si>
  <si>
    <t>56.371290525196891</t>
  </si>
  <si>
    <t>02773</t>
  </si>
  <si>
    <t>Banaharapali</t>
  </si>
  <si>
    <t>220.45985408513314</t>
  </si>
  <si>
    <t>02774</t>
  </si>
  <si>
    <t>Orient</t>
  </si>
  <si>
    <t>47.199081992559314</t>
  </si>
  <si>
    <t>02775</t>
  </si>
  <si>
    <t>Brajarajnagar</t>
  </si>
  <si>
    <t>114.36661351886748</t>
  </si>
  <si>
    <t>02776</t>
  </si>
  <si>
    <t>Jharsuguda</t>
  </si>
  <si>
    <t>142.51650963907815</t>
  </si>
  <si>
    <t>02777</t>
  </si>
  <si>
    <t>Badmal</t>
  </si>
  <si>
    <t>84.367976035174181</t>
  </si>
  <si>
    <t>02778</t>
  </si>
  <si>
    <t>Laikera</t>
  </si>
  <si>
    <t>637.14164371648064</t>
  </si>
  <si>
    <t>02779</t>
  </si>
  <si>
    <t>Kolabira</t>
  </si>
  <si>
    <t>133.42601343189835</t>
  </si>
  <si>
    <t>02780</t>
  </si>
  <si>
    <t>Govindpur</t>
  </si>
  <si>
    <t>351.66218096861382</t>
  </si>
  <si>
    <t>02781</t>
  </si>
  <si>
    <t>Mahulpalli</t>
  </si>
  <si>
    <t>624.19827849029059</t>
  </si>
  <si>
    <t>02782</t>
  </si>
  <si>
    <t>Kochinda</t>
  </si>
  <si>
    <t>517.88764534814845</t>
  </si>
  <si>
    <t>02783</t>
  </si>
  <si>
    <t>Katarbaga</t>
  </si>
  <si>
    <t>185.6041349089881</t>
  </si>
  <si>
    <t>02784</t>
  </si>
  <si>
    <t>Thelkoloi</t>
  </si>
  <si>
    <t>133.81955583217098</t>
  </si>
  <si>
    <t>02785</t>
  </si>
  <si>
    <t>Rengali</t>
  </si>
  <si>
    <t>141.30106200309928</t>
  </si>
  <si>
    <t>02786</t>
  </si>
  <si>
    <t>Sasan</t>
  </si>
  <si>
    <t>273.87544408094794</t>
  </si>
  <si>
    <t>02787</t>
  </si>
  <si>
    <t>Hirakud</t>
  </si>
  <si>
    <t>125.20797600185767</t>
  </si>
  <si>
    <t>02788</t>
  </si>
  <si>
    <t>Burla</t>
  </si>
  <si>
    <t>210.1309187756398</t>
  </si>
  <si>
    <t>02789</t>
  </si>
  <si>
    <t>Dhanupali</t>
  </si>
  <si>
    <t>12.524983058183491</t>
  </si>
  <si>
    <t>02790</t>
  </si>
  <si>
    <t>Ainthapali</t>
  </si>
  <si>
    <t>23.469955722226874</t>
  </si>
  <si>
    <t>02791</t>
  </si>
  <si>
    <t>Sadar</t>
  </si>
  <si>
    <t>123.93</t>
  </si>
  <si>
    <t>02792</t>
  </si>
  <si>
    <t>Jamankira</t>
  </si>
  <si>
    <t>684.63629197739829</t>
  </si>
  <si>
    <t>02793</t>
  </si>
  <si>
    <t>Kisinda</t>
  </si>
  <si>
    <t>517.06101739359826</t>
  </si>
  <si>
    <t>02794</t>
  </si>
  <si>
    <t>Jujomura</t>
  </si>
  <si>
    <t>610.46997625776203</t>
  </si>
  <si>
    <t>02795</t>
  </si>
  <si>
    <t>Dhama</t>
  </si>
  <si>
    <t>281.97430530654026</t>
  </si>
  <si>
    <t>02796</t>
  </si>
  <si>
    <t>Charamal</t>
  </si>
  <si>
    <t>503.68847909087606</t>
  </si>
  <si>
    <t>02797</t>
  </si>
  <si>
    <t>Rairakhol</t>
  </si>
  <si>
    <t>779.15439721095845</t>
  </si>
  <si>
    <t>02798</t>
  </si>
  <si>
    <t>Naktideul</t>
  </si>
  <si>
    <t>473.65781795721978</t>
  </si>
  <si>
    <t>02799</t>
  </si>
  <si>
    <t>Sambalpur (M)</t>
  </si>
  <si>
    <t>49.75</t>
  </si>
  <si>
    <t>02800</t>
  </si>
  <si>
    <t>Debagarh</t>
  </si>
  <si>
    <t>1016.5650220733803</t>
  </si>
  <si>
    <t>02801</t>
  </si>
  <si>
    <t>Barkot</t>
  </si>
  <si>
    <t>639.46423971232264</t>
  </si>
  <si>
    <t>02802</t>
  </si>
  <si>
    <t>Kundheigola</t>
  </si>
  <si>
    <t>620.49870665165702</t>
  </si>
  <si>
    <t>02803</t>
  </si>
  <si>
    <t>Reamal</t>
  </si>
  <si>
    <t>663.47203156264004</t>
  </si>
  <si>
    <t>02804</t>
  </si>
  <si>
    <t>Hemgir</t>
  </si>
  <si>
    <t>934.05360954361163</t>
  </si>
  <si>
    <t>02805</t>
  </si>
  <si>
    <t>Lephripara</t>
  </si>
  <si>
    <t>481.72323611178956</t>
  </si>
  <si>
    <t>02806</t>
  </si>
  <si>
    <t>Bhasma</t>
  </si>
  <si>
    <t>232.36862773415683</t>
  </si>
  <si>
    <t>02807</t>
  </si>
  <si>
    <t>Dharuadihi</t>
  </si>
  <si>
    <t>221.35403919303218</t>
  </si>
  <si>
    <t>02808</t>
  </si>
  <si>
    <t>Sundargarh Town</t>
  </si>
  <si>
    <t>41.098441326200124</t>
  </si>
  <si>
    <t>02809</t>
  </si>
  <si>
    <t>Sundargarh</t>
  </si>
  <si>
    <t>477.62886190689585</t>
  </si>
  <si>
    <t>02810</t>
  </si>
  <si>
    <t>Kinjirkela</t>
  </si>
  <si>
    <t>382.22066097623656</t>
  </si>
  <si>
    <t>02811</t>
  </si>
  <si>
    <t>Talasara</t>
  </si>
  <si>
    <t>489.32412726797764</t>
  </si>
  <si>
    <t>02812</t>
  </si>
  <si>
    <t>Baragaon</t>
  </si>
  <si>
    <t>412.46952632372586</t>
  </si>
  <si>
    <t>02813</t>
  </si>
  <si>
    <t>Kutra</t>
  </si>
  <si>
    <t>313.40010916450922</t>
  </si>
  <si>
    <t>02814</t>
  </si>
  <si>
    <t>Rajagangapur</t>
  </si>
  <si>
    <t>625.37698497819895</t>
  </si>
  <si>
    <t>02815</t>
  </si>
  <si>
    <t>Raiboga</t>
  </si>
  <si>
    <t>231.04852723484601</t>
  </si>
  <si>
    <t>02816</t>
  </si>
  <si>
    <t>Biramitrapur</t>
  </si>
  <si>
    <t>299.49780078114213</t>
  </si>
  <si>
    <t>02817</t>
  </si>
  <si>
    <t>Hatibari</t>
  </si>
  <si>
    <t>184.56655105989395</t>
  </si>
  <si>
    <t>02818</t>
  </si>
  <si>
    <t>Bisra</t>
  </si>
  <si>
    <t>398.67035079186746</t>
  </si>
  <si>
    <t>02819</t>
  </si>
  <si>
    <t>Bondamunda</t>
  </si>
  <si>
    <t>27.732423770678075</t>
  </si>
  <si>
    <t>02820</t>
  </si>
  <si>
    <t>Brahmani Tarang</t>
  </si>
  <si>
    <t>280.94</t>
  </si>
  <si>
    <t>02821</t>
  </si>
  <si>
    <t>Raghunathapali</t>
  </si>
  <si>
    <t>13.809488817009276</t>
  </si>
  <si>
    <t>02822</t>
  </si>
  <si>
    <t>Tangarapali</t>
  </si>
  <si>
    <t>23.503976858823105</t>
  </si>
  <si>
    <t>02823</t>
  </si>
  <si>
    <t>Lathikata</t>
  </si>
  <si>
    <t>129.56580135032675</t>
  </si>
  <si>
    <t>02824</t>
  </si>
  <si>
    <t>Chandiposh</t>
  </si>
  <si>
    <t>305.68577187166159</t>
  </si>
  <si>
    <t>02825</t>
  </si>
  <si>
    <t>Kamarposh Balang</t>
  </si>
  <si>
    <t>420.58608173745728</t>
  </si>
  <si>
    <t>02826</t>
  </si>
  <si>
    <t>Koida</t>
  </si>
  <si>
    <t>343.63866122684766</t>
  </si>
  <si>
    <t>02827</t>
  </si>
  <si>
    <t>Lahunipara</t>
  </si>
  <si>
    <t>532.25833335103187</t>
  </si>
  <si>
    <t>02828</t>
  </si>
  <si>
    <t>Gurundia</t>
  </si>
  <si>
    <t>856.54927163485536</t>
  </si>
  <si>
    <t>02829</t>
  </si>
  <si>
    <t>Tikaetpali</t>
  </si>
  <si>
    <t>250.01465862728816</t>
  </si>
  <si>
    <t>02830</t>
  </si>
  <si>
    <t>Banei</t>
  </si>
  <si>
    <t>329.7672926989332</t>
  </si>
  <si>
    <t>02831</t>
  </si>
  <si>
    <t>Mahulapada</t>
  </si>
  <si>
    <t>322.15608825759426</t>
  </si>
  <si>
    <t>02832</t>
  </si>
  <si>
    <t>Raurkela (M)</t>
  </si>
  <si>
    <t>56.16</t>
  </si>
  <si>
    <t>02833</t>
  </si>
  <si>
    <t>Raurkela (ITS)P.S.</t>
  </si>
  <si>
    <t>94.83</t>
  </si>
  <si>
    <t>375</t>
  </si>
  <si>
    <t>02834</t>
  </si>
  <si>
    <t>Barbil</t>
  </si>
  <si>
    <t>187.98200543995443</t>
  </si>
  <si>
    <t>02835</t>
  </si>
  <si>
    <t>Bolani</t>
  </si>
  <si>
    <t>75.850205184691205</t>
  </si>
  <si>
    <t>02836</t>
  </si>
  <si>
    <t>Rugudi</t>
  </si>
  <si>
    <t>90.045547754457743</t>
  </si>
  <si>
    <t>02837</t>
  </si>
  <si>
    <t>Joda</t>
  </si>
  <si>
    <t>139.46483386658875</t>
  </si>
  <si>
    <t>02838</t>
  </si>
  <si>
    <t>Bamebari</t>
  </si>
  <si>
    <t>422.00295975482743</t>
  </si>
  <si>
    <t>02839</t>
  </si>
  <si>
    <t>Champua</t>
  </si>
  <si>
    <t>264.96244608125966</t>
  </si>
  <si>
    <t>02840</t>
  </si>
  <si>
    <t>Jhumpura</t>
  </si>
  <si>
    <t>158.88621928161629</t>
  </si>
  <si>
    <t>02841</t>
  </si>
  <si>
    <t>Baria</t>
  </si>
  <si>
    <t>284.19718710895643</t>
  </si>
  <si>
    <t>02842</t>
  </si>
  <si>
    <t>Turumunga</t>
  </si>
  <si>
    <t>255.58875018420417</t>
  </si>
  <si>
    <t>02843</t>
  </si>
  <si>
    <t>Patana</t>
  </si>
  <si>
    <t>429.95608448164324</t>
  </si>
  <si>
    <t>02844</t>
  </si>
  <si>
    <t>Kendujhar Sadar</t>
  </si>
  <si>
    <t>525.62170212128251</t>
  </si>
  <si>
    <t>02845</t>
  </si>
  <si>
    <t>Kendujhar Town</t>
  </si>
  <si>
    <t>180.6717669361667</t>
  </si>
  <si>
    <t>02846</t>
  </si>
  <si>
    <t>Nayakote</t>
  </si>
  <si>
    <t>585.88710096385603</t>
  </si>
  <si>
    <t>02847</t>
  </si>
  <si>
    <t>Kanjipani</t>
  </si>
  <si>
    <t>310.03706562163592</t>
  </si>
  <si>
    <t>02848</t>
  </si>
  <si>
    <t>Telkoi</t>
  </si>
  <si>
    <t>861.96525722392482</t>
  </si>
  <si>
    <t>02849</t>
  </si>
  <si>
    <t>Pandapara</t>
  </si>
  <si>
    <t>526.44086359901189</t>
  </si>
  <si>
    <t>02850</t>
  </si>
  <si>
    <t>Ghatgaon</t>
  </si>
  <si>
    <t>686.50916400038966</t>
  </si>
  <si>
    <t>02851</t>
  </si>
  <si>
    <t>Harichandanpur</t>
  </si>
  <si>
    <t>663.8940857354803</t>
  </si>
  <si>
    <t>02852</t>
  </si>
  <si>
    <t>Daitari</t>
  </si>
  <si>
    <t>281.70859527787979</t>
  </si>
  <si>
    <t>02853</t>
  </si>
  <si>
    <t>Ghasipura</t>
  </si>
  <si>
    <t>427.34306305901276</t>
  </si>
  <si>
    <t>02854</t>
  </si>
  <si>
    <t>Anandapur</t>
  </si>
  <si>
    <t>349.21164869583458</t>
  </si>
  <si>
    <t>02855</t>
  </si>
  <si>
    <t>Soso</t>
  </si>
  <si>
    <t>236.70655966590988</t>
  </si>
  <si>
    <t>02856</t>
  </si>
  <si>
    <t>Nandipada</t>
  </si>
  <si>
    <t>170.7070304792305</t>
  </si>
  <si>
    <t>02857</t>
  </si>
  <si>
    <t>Sainkul</t>
  </si>
  <si>
    <t>187.35985748218528</t>
  </si>
  <si>
    <t>02858</t>
  </si>
  <si>
    <t>Tiring</t>
  </si>
  <si>
    <t>315.86</t>
  </si>
  <si>
    <t>02859</t>
  </si>
  <si>
    <t>Bahalda</t>
  </si>
  <si>
    <t>159.25704524681214</t>
  </si>
  <si>
    <t>02860</t>
  </si>
  <si>
    <t>Jamda</t>
  </si>
  <si>
    <t>215.25</t>
  </si>
  <si>
    <t>02861</t>
  </si>
  <si>
    <t>Rairangpur Town</t>
  </si>
  <si>
    <t>94.18259553575443</t>
  </si>
  <si>
    <t>02862</t>
  </si>
  <si>
    <t>Gorumahisani</t>
  </si>
  <si>
    <t>276.70950637570985</t>
  </si>
  <si>
    <t>02863</t>
  </si>
  <si>
    <t>Jharpokharia</t>
  </si>
  <si>
    <t>332.99</t>
  </si>
  <si>
    <t>02864</t>
  </si>
  <si>
    <t>Bisoi</t>
  </si>
  <si>
    <t>366.62</t>
  </si>
  <si>
    <t>02865</t>
  </si>
  <si>
    <t>Rairangpur</t>
  </si>
  <si>
    <t>252.21162461977994</t>
  </si>
  <si>
    <t>02866</t>
  </si>
  <si>
    <t>Badampahar</t>
  </si>
  <si>
    <t>236.476366669497</t>
  </si>
  <si>
    <t>02867</t>
  </si>
  <si>
    <t>Jashipur</t>
  </si>
  <si>
    <t>878.05</t>
  </si>
  <si>
    <t>02868</t>
  </si>
  <si>
    <t>Raruan</t>
  </si>
  <si>
    <t>241.31558290420702</t>
  </si>
  <si>
    <t>02869</t>
  </si>
  <si>
    <t>Ghagarbeda</t>
  </si>
  <si>
    <t>112.0616783125971</t>
  </si>
  <si>
    <t>02870</t>
  </si>
  <si>
    <t>Karanjia</t>
  </si>
  <si>
    <t>714.85110357469296</t>
  </si>
  <si>
    <t>02871</t>
  </si>
  <si>
    <t>Thakurmunda</t>
  </si>
  <si>
    <t>615.51708430521501</t>
  </si>
  <si>
    <t>02872</t>
  </si>
  <si>
    <t>Baripada Sadar</t>
  </si>
  <si>
    <t>908.27</t>
  </si>
  <si>
    <t>02873</t>
  </si>
  <si>
    <t>Baripada Town</t>
  </si>
  <si>
    <t>11.273278418451401</t>
  </si>
  <si>
    <t>02874</t>
  </si>
  <si>
    <t>Koliana</t>
  </si>
  <si>
    <t>216.03718240074323</t>
  </si>
  <si>
    <t>02875</t>
  </si>
  <si>
    <t>Bangiriposi</t>
  </si>
  <si>
    <t>812.58245768256802</t>
  </si>
  <si>
    <t>02876</t>
  </si>
  <si>
    <t>Chandua</t>
  </si>
  <si>
    <t>245.4991633909886</t>
  </si>
  <si>
    <t>02877</t>
  </si>
  <si>
    <t>Suliapada</t>
  </si>
  <si>
    <t>273.171154720223</t>
  </si>
  <si>
    <t>02878</t>
  </si>
  <si>
    <t>Muruda</t>
  </si>
  <si>
    <t>199.76076478550343</t>
  </si>
  <si>
    <t>02879</t>
  </si>
  <si>
    <t>Rasagobindapur</t>
  </si>
  <si>
    <t>211.77034658089136</t>
  </si>
  <si>
    <t>02880</t>
  </si>
  <si>
    <t>Baisinga</t>
  </si>
  <si>
    <t>278.72844820266414</t>
  </si>
  <si>
    <t>02881</t>
  </si>
  <si>
    <t>Betanati</t>
  </si>
  <si>
    <t>257.96664951826307</t>
  </si>
  <si>
    <t>02882</t>
  </si>
  <si>
    <t>Barsahi</t>
  </si>
  <si>
    <t>373.63</t>
  </si>
  <si>
    <t>02883</t>
  </si>
  <si>
    <t>Khunta</t>
  </si>
  <si>
    <t>291.4352934125157</t>
  </si>
  <si>
    <t>02884</t>
  </si>
  <si>
    <t>Udala</t>
  </si>
  <si>
    <t>525.32000000000005</t>
  </si>
  <si>
    <t>02885</t>
  </si>
  <si>
    <t>Kaptipada</t>
  </si>
  <si>
    <t>164.82474564588713</t>
  </si>
  <si>
    <t>02886</t>
  </si>
  <si>
    <t>Sharata</t>
  </si>
  <si>
    <t>414.77806935613575</t>
  </si>
  <si>
    <t>02887</t>
  </si>
  <si>
    <t>Mahuldiha</t>
  </si>
  <si>
    <t>381.90261971000888</t>
  </si>
  <si>
    <t>02888</t>
  </si>
  <si>
    <t>Baripada (M)</t>
  </si>
  <si>
    <t>39.700000000000003</t>
  </si>
  <si>
    <t>02889</t>
  </si>
  <si>
    <t>Raibania</t>
  </si>
  <si>
    <t>190.57068518806702</t>
  </si>
  <si>
    <t>02890</t>
  </si>
  <si>
    <t>Jaleswar</t>
  </si>
  <si>
    <t>197.81320250410207</t>
  </si>
  <si>
    <t>02891</t>
  </si>
  <si>
    <t>Bhograi</t>
  </si>
  <si>
    <t>221.97224520106258</t>
  </si>
  <si>
    <t>02892</t>
  </si>
  <si>
    <t>Kamarda</t>
  </si>
  <si>
    <t>121.86548505374319</t>
  </si>
  <si>
    <t>02893</t>
  </si>
  <si>
    <t>Baliapal</t>
  </si>
  <si>
    <t>201.55395750234112</t>
  </si>
  <si>
    <t>02894</t>
  </si>
  <si>
    <t>Singla</t>
  </si>
  <si>
    <t>131.41480128535898</t>
  </si>
  <si>
    <t>02895</t>
  </si>
  <si>
    <t>Basta</t>
  </si>
  <si>
    <t>324.63518793051202</t>
  </si>
  <si>
    <t>02896</t>
  </si>
  <si>
    <t>Rupsa</t>
  </si>
  <si>
    <t>39.911777633989388</t>
  </si>
  <si>
    <t>02897</t>
  </si>
  <si>
    <t>Baleshwar Sadar</t>
  </si>
  <si>
    <t>317.37</t>
  </si>
  <si>
    <t>02898</t>
  </si>
  <si>
    <t>Sahadevkhunta</t>
  </si>
  <si>
    <t>13.009514604986908</t>
  </si>
  <si>
    <t>02899</t>
  </si>
  <si>
    <t>Chandipur</t>
  </si>
  <si>
    <t>68.507771398305664</t>
  </si>
  <si>
    <t>02900</t>
  </si>
  <si>
    <t>Balaramgadi Marine</t>
  </si>
  <si>
    <t>24.356471432978687</t>
  </si>
  <si>
    <t>02901</t>
  </si>
  <si>
    <t>Bampada</t>
  </si>
  <si>
    <t>35.142315011234608</t>
  </si>
  <si>
    <t>02902</t>
  </si>
  <si>
    <t>Remuna</t>
  </si>
  <si>
    <t>130.01201816101934</t>
  </si>
  <si>
    <t>02903</t>
  </si>
  <si>
    <t>Nilagiri</t>
  </si>
  <si>
    <t>260.57475858566829</t>
  </si>
  <si>
    <t>02904</t>
  </si>
  <si>
    <t>Berhampur</t>
  </si>
  <si>
    <t>236.14555024994607</t>
  </si>
  <si>
    <t>02905</t>
  </si>
  <si>
    <t>Oupada</t>
  </si>
  <si>
    <t>185.63496678761274</t>
  </si>
  <si>
    <t>02906</t>
  </si>
  <si>
    <t>Khaira</t>
  </si>
  <si>
    <t>268.1913514015273</t>
  </si>
  <si>
    <t>02907</t>
  </si>
  <si>
    <t>Soro</t>
  </si>
  <si>
    <t>511.56902798140214</t>
  </si>
  <si>
    <t>02908</t>
  </si>
  <si>
    <t>Similia</t>
  </si>
  <si>
    <t>287.51858555909564</t>
  </si>
  <si>
    <t>02909</t>
  </si>
  <si>
    <t>Baleshwar (M)</t>
  </si>
  <si>
    <t>38.229999999999997</t>
  </si>
  <si>
    <t>02910</t>
  </si>
  <si>
    <t>Agarpada</t>
  </si>
  <si>
    <t>94.832627483810597</t>
  </si>
  <si>
    <t>02911</t>
  </si>
  <si>
    <t>Bant</t>
  </si>
  <si>
    <t>107.38445817841577</t>
  </si>
  <si>
    <t>02912</t>
  </si>
  <si>
    <t>Bhandari Pokhari</t>
  </si>
  <si>
    <t>261.7997316130303</t>
  </si>
  <si>
    <t>02913</t>
  </si>
  <si>
    <t>Dhamanagar</t>
  </si>
  <si>
    <t>154.5077930711841</t>
  </si>
  <si>
    <t>02914</t>
  </si>
  <si>
    <t>Bhadrak Rural</t>
  </si>
  <si>
    <t>374.46808903553045</t>
  </si>
  <si>
    <t>02915</t>
  </si>
  <si>
    <t>Basudebpur</t>
  </si>
  <si>
    <t>235.93535321202569</t>
  </si>
  <si>
    <t>02916</t>
  </si>
  <si>
    <t>Naikanidihi</t>
  </si>
  <si>
    <t>198.86581882648412</t>
  </si>
  <si>
    <t>02917</t>
  </si>
  <si>
    <t>Tihidi</t>
  </si>
  <si>
    <t>298.42722773496172</t>
  </si>
  <si>
    <t>02918</t>
  </si>
  <si>
    <t>Dhusuri</t>
  </si>
  <si>
    <t>227.99922438628022</t>
  </si>
  <si>
    <t>02919</t>
  </si>
  <si>
    <t>Chandabali</t>
  </si>
  <si>
    <t>231.82336936448917</t>
  </si>
  <si>
    <t>02920</t>
  </si>
  <si>
    <t>Bansada</t>
  </si>
  <si>
    <t>310.97905842956686</t>
  </si>
  <si>
    <t>02921</t>
  </si>
  <si>
    <t>Dhamara Marine</t>
  </si>
  <si>
    <t>7.9772486642208147</t>
  </si>
  <si>
    <t>02922</t>
  </si>
  <si>
    <t>Rajkanika</t>
  </si>
  <si>
    <t>288.53847855910072</t>
  </si>
  <si>
    <t>02923</t>
  </si>
  <si>
    <t>Rajnagar</t>
  </si>
  <si>
    <t>566.46125994198746</t>
  </si>
  <si>
    <t>02924</t>
  </si>
  <si>
    <t>Jamboo Marine</t>
  </si>
  <si>
    <t>47.249425708159166</t>
  </si>
  <si>
    <t>02925</t>
  </si>
  <si>
    <t>Aali</t>
  </si>
  <si>
    <t>209.44196132229942</t>
  </si>
  <si>
    <t>02926</t>
  </si>
  <si>
    <t>Pattamundai</t>
  </si>
  <si>
    <t>311.83344530850837</t>
  </si>
  <si>
    <t>02927</t>
  </si>
  <si>
    <t>Kendrapara</t>
  </si>
  <si>
    <t>10.77</t>
  </si>
  <si>
    <t>02928</t>
  </si>
  <si>
    <t>Kendrapara Sadar</t>
  </si>
  <si>
    <t>252.41</t>
  </si>
  <si>
    <t>02929</t>
  </si>
  <si>
    <t>Nikirai</t>
  </si>
  <si>
    <t>97.945230058696438</t>
  </si>
  <si>
    <t>02930</t>
  </si>
  <si>
    <t>Derabish</t>
  </si>
  <si>
    <t>101.06186259640258</t>
  </si>
  <si>
    <t>02931</t>
  </si>
  <si>
    <t>Patkura</t>
  </si>
  <si>
    <t>232.32208619808742</t>
  </si>
  <si>
    <t>02932</t>
  </si>
  <si>
    <t>Marsaghai</t>
  </si>
  <si>
    <t>175.23346220536115</t>
  </si>
  <si>
    <t>02933</t>
  </si>
  <si>
    <t>Mahakalapada</t>
  </si>
  <si>
    <t>350.73284868868353</t>
  </si>
  <si>
    <t>02934</t>
  </si>
  <si>
    <t>Paradip</t>
  </si>
  <si>
    <t>29.528213222369697</t>
  </si>
  <si>
    <t>02935</t>
  </si>
  <si>
    <t>Paradeep Lock</t>
  </si>
  <si>
    <t>43.180399612583848</t>
  </si>
  <si>
    <t>02936</t>
  </si>
  <si>
    <t>Kujang</t>
  </si>
  <si>
    <t>148.86766868744846</t>
  </si>
  <si>
    <t>02937</t>
  </si>
  <si>
    <t>Abhyachandpur</t>
  </si>
  <si>
    <t>69.966208702514621</t>
  </si>
  <si>
    <t>02938</t>
  </si>
  <si>
    <t>Ersama</t>
  </si>
  <si>
    <t>247.02579187143525</t>
  </si>
  <si>
    <t>02939</t>
  </si>
  <si>
    <t>Tirtol</t>
  </si>
  <si>
    <t>290.89428561179466</t>
  </si>
  <si>
    <t>02940</t>
  </si>
  <si>
    <t>Jagatsinghapur</t>
  </si>
  <si>
    <t>276.13516518994152</t>
  </si>
  <si>
    <t>02941</t>
  </si>
  <si>
    <t>Biridi</t>
  </si>
  <si>
    <t>120.6358646913226</t>
  </si>
  <si>
    <t>02942</t>
  </si>
  <si>
    <t>Naugaon</t>
  </si>
  <si>
    <t>141.63769415647309</t>
  </si>
  <si>
    <t>02943</t>
  </si>
  <si>
    <t>Balikuda</t>
  </si>
  <si>
    <t>300.1287082541163</t>
  </si>
  <si>
    <t>02944</t>
  </si>
  <si>
    <t>Narasinghpur</t>
  </si>
  <si>
    <t>471.32025469493033</t>
  </si>
  <si>
    <t>02945</t>
  </si>
  <si>
    <t>178.8</t>
  </si>
  <si>
    <t>02946</t>
  </si>
  <si>
    <t>Badamba</t>
  </si>
  <si>
    <t>372.08270599930148</t>
  </si>
  <si>
    <t>02947</t>
  </si>
  <si>
    <t>Baidyeswar</t>
  </si>
  <si>
    <t>105.68154536417615</t>
  </si>
  <si>
    <t>02948</t>
  </si>
  <si>
    <t>Banki</t>
  </si>
  <si>
    <t>385.84750544047716</t>
  </si>
  <si>
    <t>02949</t>
  </si>
  <si>
    <t>Tigiria</t>
  </si>
  <si>
    <t>150.75783025711294</t>
  </si>
  <si>
    <t>02950</t>
  </si>
  <si>
    <t>Athagad</t>
  </si>
  <si>
    <t>156.38840439536821</t>
  </si>
  <si>
    <t>02951</t>
  </si>
  <si>
    <t>Barang</t>
  </si>
  <si>
    <t>70.271255474060339</t>
  </si>
  <si>
    <t>02952</t>
  </si>
  <si>
    <t>Gurudijhatia</t>
  </si>
  <si>
    <t>165.43112758926412</t>
  </si>
  <si>
    <t>02953</t>
  </si>
  <si>
    <t>Khuntuni</t>
  </si>
  <si>
    <t>115.7700975255904</t>
  </si>
  <si>
    <t>02954</t>
  </si>
  <si>
    <t>Choudwar</t>
  </si>
  <si>
    <t>178.50927164772574</t>
  </si>
  <si>
    <t>02955</t>
  </si>
  <si>
    <t>Tangi</t>
  </si>
  <si>
    <t>184.37225222320734</t>
  </si>
  <si>
    <t>02956</t>
  </si>
  <si>
    <t>Mahanga</t>
  </si>
  <si>
    <t>224.05036941511514</t>
  </si>
  <si>
    <t>02957</t>
  </si>
  <si>
    <t>Salepur</t>
  </si>
  <si>
    <t>148.43376588484995</t>
  </si>
  <si>
    <t>02958</t>
  </si>
  <si>
    <t>Nischintakoili</t>
  </si>
  <si>
    <t>58.936159694795947</t>
  </si>
  <si>
    <t>02959</t>
  </si>
  <si>
    <t>Nemalo</t>
  </si>
  <si>
    <t>107.44572150130303</t>
  </si>
  <si>
    <t>02960</t>
  </si>
  <si>
    <t>Kishannagar</t>
  </si>
  <si>
    <t>126.69320007522636</t>
  </si>
  <si>
    <t>02961</t>
  </si>
  <si>
    <t>Jagatpur</t>
  </si>
  <si>
    <t>91.83223449128181</t>
  </si>
  <si>
    <t>02962</t>
  </si>
  <si>
    <t>Cuttack Sadar</t>
  </si>
  <si>
    <t>02963</t>
  </si>
  <si>
    <t>Kandarpur</t>
  </si>
  <si>
    <t>33.984159479863521</t>
  </si>
  <si>
    <t>02964</t>
  </si>
  <si>
    <t>C.R.R.I.</t>
  </si>
  <si>
    <t>5.1446334058730292</t>
  </si>
  <si>
    <t>02965</t>
  </si>
  <si>
    <t>79.35623438381559</t>
  </si>
  <si>
    <t>02966</t>
  </si>
  <si>
    <t>Olatapur</t>
  </si>
  <si>
    <t>40.164057924290056</t>
  </si>
  <si>
    <t>02967</t>
  </si>
  <si>
    <t>Niali</t>
  </si>
  <si>
    <t>210.13767496843178</t>
  </si>
  <si>
    <t>02968</t>
  </si>
  <si>
    <t>Cuttack (M Corp.)</t>
  </si>
  <si>
    <t>149.16</t>
  </si>
  <si>
    <t>02969</t>
  </si>
  <si>
    <t>Sukinda</t>
  </si>
  <si>
    <t>220.9895739721662</t>
  </si>
  <si>
    <t>02970</t>
  </si>
  <si>
    <t>Tomka</t>
  </si>
  <si>
    <t>174.53100776581536</t>
  </si>
  <si>
    <t>02971</t>
  </si>
  <si>
    <t>Kaliapani</t>
  </si>
  <si>
    <t>207.51700495164715</t>
  </si>
  <si>
    <t>02972</t>
  </si>
  <si>
    <t>Kalinganagar</t>
  </si>
  <si>
    <t>142.79054854798227</t>
  </si>
  <si>
    <t>02973</t>
  </si>
  <si>
    <t>Jakhapura</t>
  </si>
  <si>
    <t>48.679775582615164</t>
  </si>
  <si>
    <t>02974</t>
  </si>
  <si>
    <t>Jajapur Road</t>
  </si>
  <si>
    <t>109.91872567588372</t>
  </si>
  <si>
    <t>02975</t>
  </si>
  <si>
    <t>Korai</t>
  </si>
  <si>
    <t>187.01752589500217</t>
  </si>
  <si>
    <t>02976</t>
  </si>
  <si>
    <t>Panikoili</t>
  </si>
  <si>
    <t>127.87523138119806</t>
  </si>
  <si>
    <t>02977</t>
  </si>
  <si>
    <t>Jajapur</t>
  </si>
  <si>
    <t>100.90933437402659</t>
  </si>
  <si>
    <t>02978</t>
  </si>
  <si>
    <t>Jajpur Sadar</t>
  </si>
  <si>
    <t>168.44863068875512</t>
  </si>
  <si>
    <t>02979</t>
  </si>
  <si>
    <t>Dharmasala</t>
  </si>
  <si>
    <t>189.79922735686588</t>
  </si>
  <si>
    <t>02980</t>
  </si>
  <si>
    <t>Jenapur</t>
  </si>
  <si>
    <t>166.93322616102341</t>
  </si>
  <si>
    <t>02981</t>
  </si>
  <si>
    <t>Kuakhia</t>
  </si>
  <si>
    <t>107.00209093415347</t>
  </si>
  <si>
    <t>02982</t>
  </si>
  <si>
    <t>Badachana</t>
  </si>
  <si>
    <t>252.61585887626609</t>
  </si>
  <si>
    <t>02983</t>
  </si>
  <si>
    <t>Balichandrapur</t>
  </si>
  <si>
    <t>140.70427245158447</t>
  </si>
  <si>
    <t>02984</t>
  </si>
  <si>
    <t>Binjharpur</t>
  </si>
  <si>
    <t>238.10534154908146</t>
  </si>
  <si>
    <t>02985</t>
  </si>
  <si>
    <t>Bari - Ramachandrapur</t>
  </si>
  <si>
    <t>152.36043193543881</t>
  </si>
  <si>
    <t>02986</t>
  </si>
  <si>
    <t>Mangalpur</t>
  </si>
  <si>
    <t>162.80219190049442</t>
  </si>
  <si>
    <t>02987</t>
  </si>
  <si>
    <t>Parajang</t>
  </si>
  <si>
    <t>859.78120310373299</t>
  </si>
  <si>
    <t>02988</t>
  </si>
  <si>
    <t>Kamakshyanagar</t>
  </si>
  <si>
    <t>427.33730877956282</t>
  </si>
  <si>
    <t>02989</t>
  </si>
  <si>
    <t>Kankadahad</t>
  </si>
  <si>
    <t>492.29349123439698</t>
  </si>
  <si>
    <t>02990</t>
  </si>
  <si>
    <t>Bhuban</t>
  </si>
  <si>
    <t>221.00224985749352</t>
  </si>
  <si>
    <t>02991</t>
  </si>
  <si>
    <t>Gandia</t>
  </si>
  <si>
    <t>482.55679668686963</t>
  </si>
  <si>
    <t>02992</t>
  </si>
  <si>
    <t>Nihalprasad</t>
  </si>
  <si>
    <t>169.08702318493272</t>
  </si>
  <si>
    <t>02993</t>
  </si>
  <si>
    <t>Tumusingha</t>
  </si>
  <si>
    <t>168.58983027186747</t>
  </si>
  <si>
    <t>02994</t>
  </si>
  <si>
    <t>Motunga</t>
  </si>
  <si>
    <t>123.61458801084213</t>
  </si>
  <si>
    <t>02995</t>
  </si>
  <si>
    <t>Bhusan Steel Limited</t>
  </si>
  <si>
    <t>80.75241563034399</t>
  </si>
  <si>
    <t>02996</t>
  </si>
  <si>
    <t>Balimi</t>
  </si>
  <si>
    <t>122.63056037040053</t>
  </si>
  <si>
    <t>02997</t>
  </si>
  <si>
    <t>Hindol</t>
  </si>
  <si>
    <t>244.59819685671405</t>
  </si>
  <si>
    <t>02998</t>
  </si>
  <si>
    <t>Rasol</t>
  </si>
  <si>
    <t>357.88567373576387</t>
  </si>
  <si>
    <t>02999</t>
  </si>
  <si>
    <t>Dhenkanal Sadar</t>
  </si>
  <si>
    <t>701.87066227707919</t>
  </si>
  <si>
    <t>03000</t>
  </si>
  <si>
    <t>Palalahada</t>
  </si>
  <si>
    <t>686.00422956698139</t>
  </si>
  <si>
    <t>03001</t>
  </si>
  <si>
    <t>Khamar</t>
  </si>
  <si>
    <t>479.73664362240788</t>
  </si>
  <si>
    <t>03002</t>
  </si>
  <si>
    <t>Rengali Damsite</t>
  </si>
  <si>
    <t>80.455239250121508</t>
  </si>
  <si>
    <t>03003</t>
  </si>
  <si>
    <t>Kaniha</t>
  </si>
  <si>
    <t>354.58750343388169</t>
  </si>
  <si>
    <t>03004</t>
  </si>
  <si>
    <t>N.T.P.C.</t>
  </si>
  <si>
    <t>19.409152899984232</t>
  </si>
  <si>
    <t>03005</t>
  </si>
  <si>
    <t>Samal Barrage</t>
  </si>
  <si>
    <t>171.27308015533336</t>
  </si>
  <si>
    <t>03006</t>
  </si>
  <si>
    <t>Talcher Sadar</t>
  </si>
  <si>
    <t>146.78625244435486</t>
  </si>
  <si>
    <t>03007</t>
  </si>
  <si>
    <t>Colliery</t>
  </si>
  <si>
    <t>85.045871783326518</t>
  </si>
  <si>
    <t>03008</t>
  </si>
  <si>
    <t>Bikrampur</t>
  </si>
  <si>
    <t>28.984196829287718</t>
  </si>
  <si>
    <t>03009</t>
  </si>
  <si>
    <t>NALCO</t>
  </si>
  <si>
    <t>42.942621258694423</t>
  </si>
  <si>
    <t>03010</t>
  </si>
  <si>
    <t>Banarpal</t>
  </si>
  <si>
    <t>192.4127875317177</t>
  </si>
  <si>
    <t>39.067008239690637</t>
  </si>
  <si>
    <t>03011</t>
  </si>
  <si>
    <t>Anugul</t>
  </si>
  <si>
    <t>227.3969307193027</t>
  </si>
  <si>
    <t>03012</t>
  </si>
  <si>
    <t>Jarapada</t>
  </si>
  <si>
    <t>291.89376342058506</t>
  </si>
  <si>
    <t>03013</t>
  </si>
  <si>
    <t>Industrial</t>
  </si>
  <si>
    <t>152.66184758279107</t>
  </si>
  <si>
    <t>03014</t>
  </si>
  <si>
    <t>Chhendipada</t>
  </si>
  <si>
    <t>405.62331658520168</t>
  </si>
  <si>
    <t>03015</t>
  </si>
  <si>
    <t>Handapa</t>
  </si>
  <si>
    <t>407.21915724008562</t>
  </si>
  <si>
    <t>03016</t>
  </si>
  <si>
    <t>Kishorenagar</t>
  </si>
  <si>
    <t>366.12107907599727</t>
  </si>
  <si>
    <t>03017</t>
  </si>
  <si>
    <t>Athmallik</t>
  </si>
  <si>
    <t>392.81514093951</t>
  </si>
  <si>
    <t>03018</t>
  </si>
  <si>
    <t>Kiakata</t>
  </si>
  <si>
    <t>138.62052234014368</t>
  </si>
  <si>
    <t>03019</t>
  </si>
  <si>
    <t>Thakurgarh</t>
  </si>
  <si>
    <t>563.77734304519061</t>
  </si>
  <si>
    <t>03020</t>
  </si>
  <si>
    <t>Purunakot</t>
  </si>
  <si>
    <t>691.9109125103829</t>
  </si>
  <si>
    <t>03021</t>
  </si>
  <si>
    <t>Bantala</t>
  </si>
  <si>
    <t>410.25539952502709</t>
  </si>
  <si>
    <t>03022</t>
  </si>
  <si>
    <t>Gania</t>
  </si>
  <si>
    <t>461.37991092202356</t>
  </si>
  <si>
    <t>03023</t>
  </si>
  <si>
    <t>Dasapalla</t>
  </si>
  <si>
    <t>553.01458485674402</t>
  </si>
  <si>
    <t>03024</t>
  </si>
  <si>
    <t>Banigochha</t>
  </si>
  <si>
    <t>350.03018015023599</t>
  </si>
  <si>
    <t>03025</t>
  </si>
  <si>
    <t>Nuagaon</t>
  </si>
  <si>
    <t>252.75819982716214</t>
  </si>
  <si>
    <t>03026</t>
  </si>
  <si>
    <t>Khandapada</t>
  </si>
  <si>
    <t>332.69417004586847</t>
  </si>
  <si>
    <t>03027</t>
  </si>
  <si>
    <t>Fategarh</t>
  </si>
  <si>
    <t>223.00977198697069</t>
  </si>
  <si>
    <t>03028</t>
  </si>
  <si>
    <t>Nayagarh</t>
  </si>
  <si>
    <t>60.055414478494981</t>
  </si>
  <si>
    <t>03029</t>
  </si>
  <si>
    <t>Itamati</t>
  </si>
  <si>
    <t>81.839207604866061</t>
  </si>
  <si>
    <t>03030</t>
  </si>
  <si>
    <t>Nayagarh Sadar</t>
  </si>
  <si>
    <t>231.90533803097784</t>
  </si>
  <si>
    <t>03031</t>
  </si>
  <si>
    <t>Odagaon</t>
  </si>
  <si>
    <t>543.88111413946683</t>
  </si>
  <si>
    <t>03032</t>
  </si>
  <si>
    <t>Sarankul</t>
  </si>
  <si>
    <t>290.19198298211796</t>
  </si>
  <si>
    <t>03033</t>
  </si>
  <si>
    <t>Ranapur</t>
  </si>
  <si>
    <t>509.24012497507147</t>
  </si>
  <si>
    <t>03034</t>
  </si>
  <si>
    <t>Bolagad</t>
  </si>
  <si>
    <t>171.70205906560329</t>
  </si>
  <si>
    <t>03035</t>
  </si>
  <si>
    <t>Begunia</t>
  </si>
  <si>
    <t>244.13175647748471</t>
  </si>
  <si>
    <t>03036</t>
  </si>
  <si>
    <t>Khordha</t>
  </si>
  <si>
    <t>212.59794488791769</t>
  </si>
  <si>
    <t>03037</t>
  </si>
  <si>
    <t>Khordha Sadar</t>
  </si>
  <si>
    <t>127.54056851631547</t>
  </si>
  <si>
    <t>03038</t>
  </si>
  <si>
    <t>Chandaka</t>
  </si>
  <si>
    <t>220.68</t>
  </si>
  <si>
    <t>03039</t>
  </si>
  <si>
    <t>Nandankanan</t>
  </si>
  <si>
    <t>17.46036954638738</t>
  </si>
  <si>
    <t>03041</t>
  </si>
  <si>
    <t>Mancheswar</t>
  </si>
  <si>
    <t>12.53668687754508</t>
  </si>
  <si>
    <t>03042</t>
  </si>
  <si>
    <t>Balianta</t>
  </si>
  <si>
    <t>90.678665003791792</t>
  </si>
  <si>
    <t>03043</t>
  </si>
  <si>
    <t>Balipatna</t>
  </si>
  <si>
    <t>170.01365042967583</t>
  </si>
  <si>
    <t>03044</t>
  </si>
  <si>
    <t>Lingaraj</t>
  </si>
  <si>
    <t>2.0523769646303638</t>
  </si>
  <si>
    <t>03045</t>
  </si>
  <si>
    <t>Airfield (Kapila Prasad)</t>
  </si>
  <si>
    <t>34.213022898074641</t>
  </si>
  <si>
    <t>03046</t>
  </si>
  <si>
    <t>Uttara P.S</t>
  </si>
  <si>
    <t>25.022822598325863</t>
  </si>
  <si>
    <t>03047</t>
  </si>
  <si>
    <t>Khandagiri</t>
  </si>
  <si>
    <t>15.600086977461336</t>
  </si>
  <si>
    <t>03048</t>
  </si>
  <si>
    <t>Tamando</t>
  </si>
  <si>
    <t>20.97873005718229</t>
  </si>
  <si>
    <t>03049</t>
  </si>
  <si>
    <t>Jatani</t>
  </si>
  <si>
    <t>135.86128891971836</t>
  </si>
  <si>
    <t>03050</t>
  </si>
  <si>
    <t>Jankia</t>
  </si>
  <si>
    <t>196.0474961632876</t>
  </si>
  <si>
    <t>03051</t>
  </si>
  <si>
    <t>Nirakarpur</t>
  </si>
  <si>
    <t>51.198211570877646</t>
  </si>
  <si>
    <t>03052</t>
  </si>
  <si>
    <t>Tangi</t>
  </si>
  <si>
    <t>250.0664622816129</t>
  </si>
  <si>
    <t>03053</t>
  </si>
  <si>
    <t>Balugaon</t>
  </si>
  <si>
    <t>162.46130760909023</t>
  </si>
  <si>
    <t>03054</t>
  </si>
  <si>
    <t>Banapur</t>
  </si>
  <si>
    <t>466.86015318096702</t>
  </si>
  <si>
    <t>03055</t>
  </si>
  <si>
    <t>Bhubaneswar (M.Corp.)</t>
  </si>
  <si>
    <t>185.3</t>
  </si>
  <si>
    <t>03056</t>
  </si>
  <si>
    <t>Delanga</t>
  </si>
  <si>
    <t>182.04764046539705</t>
  </si>
  <si>
    <t>03057</t>
  </si>
  <si>
    <t>Pipili</t>
  </si>
  <si>
    <t>200.19681430279215</t>
  </si>
  <si>
    <t>03058</t>
  </si>
  <si>
    <t>Nimapada</t>
  </si>
  <si>
    <t>257.97974836365358</t>
  </si>
  <si>
    <t>03059</t>
  </si>
  <si>
    <t>Kakatpur</t>
  </si>
  <si>
    <t>104.41694284327767</t>
  </si>
  <si>
    <t>03060</t>
  </si>
  <si>
    <t>Astaranga</t>
  </si>
  <si>
    <t>133.04590055274778</t>
  </si>
  <si>
    <t>03061</t>
  </si>
  <si>
    <t>Konark</t>
  </si>
  <si>
    <t>156.86733461952727</t>
  </si>
  <si>
    <t>03062</t>
  </si>
  <si>
    <t>Gop</t>
  </si>
  <si>
    <t>211.71634097553471</t>
  </si>
  <si>
    <t>03063</t>
  </si>
  <si>
    <t>Ramachandi</t>
  </si>
  <si>
    <t>103.00659864831276</t>
  </si>
  <si>
    <t>03064</t>
  </si>
  <si>
    <t>Satyabadi</t>
  </si>
  <si>
    <t>282.33649555552927</t>
  </si>
  <si>
    <t>03065</t>
  </si>
  <si>
    <t>Chandanpur</t>
  </si>
  <si>
    <t>133.00472262004803</t>
  </si>
  <si>
    <t>03066</t>
  </si>
  <si>
    <t>Sadar</t>
  </si>
  <si>
    <t>260.24</t>
  </si>
  <si>
    <t>03067</t>
  </si>
  <si>
    <t>Brahmagiri</t>
  </si>
  <si>
    <t>1176.8859055239268</t>
  </si>
  <si>
    <t>03068</t>
  </si>
  <si>
    <t>Gadisagada</t>
  </si>
  <si>
    <t>129.87519973487045</t>
  </si>
  <si>
    <t>03069</t>
  </si>
  <si>
    <t>Krushna Prasad</t>
  </si>
  <si>
    <t>130.54434114124066</t>
  </si>
  <si>
    <t>03070</t>
  </si>
  <si>
    <t>Puri (M)</t>
  </si>
  <si>
    <t>16.84</t>
  </si>
  <si>
    <t>388</t>
  </si>
  <si>
    <t>03071</t>
  </si>
  <si>
    <t>Tarasingi</t>
  </si>
  <si>
    <t>756.84708675627962</t>
  </si>
  <si>
    <t>03072</t>
  </si>
  <si>
    <t>Buguda</t>
  </si>
  <si>
    <t>344.7929762620933</t>
  </si>
  <si>
    <t>03073</t>
  </si>
  <si>
    <t>Jagannath Prasad</t>
  </si>
  <si>
    <t>248.33713103679526</t>
  </si>
  <si>
    <t>03074</t>
  </si>
  <si>
    <t>Bhanjanagar</t>
  </si>
  <si>
    <t>635.79930028895751</t>
  </si>
  <si>
    <t>03075</t>
  </si>
  <si>
    <t>294.11192911172697</t>
  </si>
  <si>
    <t>03076</t>
  </si>
  <si>
    <t>Surada</t>
  </si>
  <si>
    <t>559.23146677975137</t>
  </si>
  <si>
    <t>03077</t>
  </si>
  <si>
    <t>Badagada</t>
  </si>
  <si>
    <t>734.82460379293684</t>
  </si>
  <si>
    <t>03078</t>
  </si>
  <si>
    <t>Asika</t>
  </si>
  <si>
    <t>183.31162782670441</t>
  </si>
  <si>
    <t>03079</t>
  </si>
  <si>
    <t>Dharakote</t>
  </si>
  <si>
    <t>56.598893973313352</t>
  </si>
  <si>
    <t>03080</t>
  </si>
  <si>
    <t>Kabisuryanagar</t>
  </si>
  <si>
    <t>250.7346176983994</t>
  </si>
  <si>
    <t>03081</t>
  </si>
  <si>
    <t>Polasara</t>
  </si>
  <si>
    <t>402.08987268119017</t>
  </si>
  <si>
    <t>03082</t>
  </si>
  <si>
    <t>Kodala</t>
  </si>
  <si>
    <t>261.86219292103476</t>
  </si>
  <si>
    <t>03083</t>
  </si>
  <si>
    <t>Khalikote</t>
  </si>
  <si>
    <t>288.97301255436446</t>
  </si>
  <si>
    <t>03084</t>
  </si>
  <si>
    <t>Rambha</t>
  </si>
  <si>
    <t>231.81773981991932</t>
  </si>
  <si>
    <t>03085</t>
  </si>
  <si>
    <t>Chhatrapur</t>
  </si>
  <si>
    <t>124.3152471917869</t>
  </si>
  <si>
    <t>03086</t>
  </si>
  <si>
    <t>Ganjam</t>
  </si>
  <si>
    <t>69.274213749642499</t>
  </si>
  <si>
    <t>03087</t>
  </si>
  <si>
    <t>Chamakhandi</t>
  </si>
  <si>
    <t>116.67</t>
  </si>
  <si>
    <t>03088</t>
  </si>
  <si>
    <t>Arjyapalli Marine</t>
  </si>
  <si>
    <t>4.13</t>
  </si>
  <si>
    <t>03089</t>
  </si>
  <si>
    <t>Purusottampur</t>
  </si>
  <si>
    <t>210.08862020335508</t>
  </si>
  <si>
    <t>03090</t>
  </si>
  <si>
    <t>Hinjili</t>
  </si>
  <si>
    <t>165.55</t>
  </si>
  <si>
    <t>03091</t>
  </si>
  <si>
    <t>Patapur</t>
  </si>
  <si>
    <t>338.01527135376085</t>
  </si>
  <si>
    <t>03092</t>
  </si>
  <si>
    <t>Seragad</t>
  </si>
  <si>
    <t>115.02877986962396</t>
  </si>
  <si>
    <t>03093</t>
  </si>
  <si>
    <t>Brahmapur Sadar</t>
  </si>
  <si>
    <t>188.92</t>
  </si>
  <si>
    <t>03094</t>
  </si>
  <si>
    <t>61.596186846024125</t>
  </si>
  <si>
    <t>03095</t>
  </si>
  <si>
    <t>Golanthara</t>
  </si>
  <si>
    <t>290.99620804938905</t>
  </si>
  <si>
    <t>03096</t>
  </si>
  <si>
    <t>Digapahandi</t>
  </si>
  <si>
    <t>254.90240041815008</t>
  </si>
  <si>
    <t>03097</t>
  </si>
  <si>
    <t>Nuagaon</t>
  </si>
  <si>
    <t>432.29618142190748</t>
  </si>
  <si>
    <t>03098</t>
  </si>
  <si>
    <t>Jarada</t>
  </si>
  <si>
    <t>270.6125134370161</t>
  </si>
  <si>
    <t>03109</t>
  </si>
  <si>
    <t>Ramagiri</t>
  </si>
  <si>
    <t>234.47824189587666</t>
  </si>
  <si>
    <t>03099</t>
  </si>
  <si>
    <t>Brahmapur (M.Corp.)</t>
  </si>
  <si>
    <t>79.8</t>
  </si>
  <si>
    <t>389</t>
  </si>
  <si>
    <t>03100</t>
  </si>
  <si>
    <t>Adva</t>
  </si>
  <si>
    <t>854.14615511998318</t>
  </si>
  <si>
    <t>03101</t>
  </si>
  <si>
    <t>Mohana</t>
  </si>
  <si>
    <t>663.27605154608136</t>
  </si>
  <si>
    <t>03102</t>
  </si>
  <si>
    <t>R.Udaygiri</t>
  </si>
  <si>
    <t>1013.3836273948956</t>
  </si>
  <si>
    <t>03103</t>
  </si>
  <si>
    <t>Serango</t>
  </si>
  <si>
    <t>380.41630285330041</t>
  </si>
  <si>
    <t>03104</t>
  </si>
  <si>
    <t>Kashinagara</t>
  </si>
  <si>
    <t>269.03471532231356</t>
  </si>
  <si>
    <t>03105</t>
  </si>
  <si>
    <t>Parlakhemundi</t>
  </si>
  <si>
    <t>150.24143407701803</t>
  </si>
  <si>
    <t>03106</t>
  </si>
  <si>
    <t>Gurandi</t>
  </si>
  <si>
    <t>132.5857595921276</t>
  </si>
  <si>
    <t>03107</t>
  </si>
  <si>
    <t>Rayagada</t>
  </si>
  <si>
    <t>330.44434157307882</t>
  </si>
  <si>
    <t>03108</t>
  </si>
  <si>
    <t>Garabandha</t>
  </si>
  <si>
    <t>291.6713084234085</t>
  </si>
  <si>
    <t>239.80030409779303</t>
  </si>
  <si>
    <t>03110</t>
  </si>
  <si>
    <t>Gochhapada</t>
  </si>
  <si>
    <t>628.46494280103843</t>
  </si>
  <si>
    <t>03111</t>
  </si>
  <si>
    <t>Phulabani</t>
  </si>
  <si>
    <t>618.958750388922</t>
  </si>
  <si>
    <t>03112</t>
  </si>
  <si>
    <t>Phulabani Town</t>
  </si>
  <si>
    <t>17.624770681287981</t>
  </si>
  <si>
    <t>03113</t>
  </si>
  <si>
    <t>Khajuripada</t>
  </si>
  <si>
    <t>373.5167323584356</t>
  </si>
  <si>
    <t>03114</t>
  </si>
  <si>
    <t>G.Udayagiri</t>
  </si>
  <si>
    <t>351.28384008303885</t>
  </si>
  <si>
    <t>03115</t>
  </si>
  <si>
    <t>Tikabali</t>
  </si>
  <si>
    <t>312.9069892341239</t>
  </si>
  <si>
    <t>03116</t>
  </si>
  <si>
    <t>Chakapada</t>
  </si>
  <si>
    <t>275.84526522217931</t>
  </si>
  <si>
    <t>03117</t>
  </si>
  <si>
    <t>Sarangagarh</t>
  </si>
  <si>
    <t>289.87673659300492</t>
  </si>
  <si>
    <t>03118</t>
  </si>
  <si>
    <t>Phiringia</t>
  </si>
  <si>
    <t>498.13276665844711</t>
  </si>
  <si>
    <t>03119</t>
  </si>
  <si>
    <t>Baliguda</t>
  </si>
  <si>
    <t>1106.0941571980579</t>
  </si>
  <si>
    <t>03120</t>
  </si>
  <si>
    <t>261.79308319250379</t>
  </si>
  <si>
    <t>03121</t>
  </si>
  <si>
    <t>Tumudibandha</t>
  </si>
  <si>
    <t>350.91104822374018</t>
  </si>
  <si>
    <t>03122</t>
  </si>
  <si>
    <t>Belaghar</t>
  </si>
  <si>
    <t>371.07287461414421</t>
  </si>
  <si>
    <t>03123</t>
  </si>
  <si>
    <t>Kotagarh</t>
  </si>
  <si>
    <t>855.09132726636597</t>
  </si>
  <si>
    <t>03124</t>
  </si>
  <si>
    <t>Brahmanigaon</t>
  </si>
  <si>
    <t>468.34048390282692</t>
  </si>
  <si>
    <t>03125</t>
  </si>
  <si>
    <t>Daringbadi</t>
  </si>
  <si>
    <t>747.15772866997077</t>
  </si>
  <si>
    <t>03126</t>
  </si>
  <si>
    <t>Raikia</t>
  </si>
  <si>
    <t>493.92850291191189</t>
  </si>
  <si>
    <t>03127</t>
  </si>
  <si>
    <t>Kantamal</t>
  </si>
  <si>
    <t>612.20429892059428</t>
  </si>
  <si>
    <t>03128</t>
  </si>
  <si>
    <t>Manamunda</t>
  </si>
  <si>
    <t>683.4608648605323</t>
  </si>
  <si>
    <t>03129</t>
  </si>
  <si>
    <t>Baunsuni</t>
  </si>
  <si>
    <t>158.59164262049802</t>
  </si>
  <si>
    <t>03130</t>
  </si>
  <si>
    <t>Baudh Sadar</t>
  </si>
  <si>
    <t>699.22897964091055</t>
  </si>
  <si>
    <t>03131</t>
  </si>
  <si>
    <t>Puruna Katak</t>
  </si>
  <si>
    <t>313.12744469381215</t>
  </si>
  <si>
    <t>03132</t>
  </si>
  <si>
    <t>Harbhanga</t>
  </si>
  <si>
    <t>631.38676926365292</t>
  </si>
  <si>
    <t>03133</t>
  </si>
  <si>
    <t>Dunguripali</t>
  </si>
  <si>
    <t>370.30828671098539</t>
  </si>
  <si>
    <t>03134</t>
  </si>
  <si>
    <t>Rampur</t>
  </si>
  <si>
    <t>114.24786414796289</t>
  </si>
  <si>
    <t>03135</t>
  </si>
  <si>
    <t>Binika</t>
  </si>
  <si>
    <t>301.96056078457184</t>
  </si>
  <si>
    <t>03136</t>
  </si>
  <si>
    <t>Ulunda</t>
  </si>
  <si>
    <t>365.42703876785367</t>
  </si>
  <si>
    <t>03137</t>
  </si>
  <si>
    <t>Biramaharajpur</t>
  </si>
  <si>
    <t>412.96793260053971</t>
  </si>
  <si>
    <t>03138</t>
  </si>
  <si>
    <t>Subalaya</t>
  </si>
  <si>
    <t>231.57214506680708</t>
  </si>
  <si>
    <t>03139</t>
  </si>
  <si>
    <t>164.8139011386823</t>
  </si>
  <si>
    <t>03140</t>
  </si>
  <si>
    <t>Tarbha</t>
  </si>
  <si>
    <t>375.70227078259728</t>
  </si>
  <si>
    <t>03141</t>
  </si>
  <si>
    <t>Loisinga</t>
  </si>
  <si>
    <t>495.23375916722057</t>
  </si>
  <si>
    <t>03142</t>
  </si>
  <si>
    <t>Balangir</t>
  </si>
  <si>
    <t>934.31042988969989</t>
  </si>
  <si>
    <t>03143</t>
  </si>
  <si>
    <t>Tushura</t>
  </si>
  <si>
    <t>850.78406208407421</t>
  </si>
  <si>
    <t>03144</t>
  </si>
  <si>
    <t>Patnagarh</t>
  </si>
  <si>
    <t>771.05434736052257</t>
  </si>
  <si>
    <t>03145</t>
  </si>
  <si>
    <t>Khaprakhol</t>
  </si>
  <si>
    <t>565.80561288511058</t>
  </si>
  <si>
    <t>03146</t>
  </si>
  <si>
    <t>Turekela</t>
  </si>
  <si>
    <t>389.52200370892695</t>
  </si>
  <si>
    <t>03147</t>
  </si>
  <si>
    <t>Belpara</t>
  </si>
  <si>
    <t>529.43492800271588</t>
  </si>
  <si>
    <t>03148</t>
  </si>
  <si>
    <t>Saintala</t>
  </si>
  <si>
    <t>858.40865934505234</t>
  </si>
  <si>
    <t>03149</t>
  </si>
  <si>
    <t>Kantabanji</t>
  </si>
  <si>
    <t>186.59924076456562</t>
  </si>
  <si>
    <t>03150</t>
  </si>
  <si>
    <t>Bangomunda</t>
  </si>
  <si>
    <t>193.31639621746558</t>
  </si>
  <si>
    <t>03151</t>
  </si>
  <si>
    <t>Sindhekela</t>
  </si>
  <si>
    <t>289.02543105567992</t>
  </si>
  <si>
    <t>03152</t>
  </si>
  <si>
    <t>Titlagarh</t>
  </si>
  <si>
    <t>511.50512951896576</t>
  </si>
  <si>
    <t>03153</t>
  </si>
  <si>
    <t>Jonk</t>
  </si>
  <si>
    <t>345.62058448579131</t>
  </si>
  <si>
    <t>03154</t>
  </si>
  <si>
    <t>Nuapada</t>
  </si>
  <si>
    <t>658.99043069922061</t>
  </si>
  <si>
    <t>03155</t>
  </si>
  <si>
    <t>Komna</t>
  </si>
  <si>
    <t>1124.6318320450548</t>
  </si>
  <si>
    <t>03156</t>
  </si>
  <si>
    <t>Khariar</t>
  </si>
  <si>
    <t>425.50668882828518</t>
  </si>
  <si>
    <t>03157</t>
  </si>
  <si>
    <t>Boden</t>
  </si>
  <si>
    <t>555.29700334037989</t>
  </si>
  <si>
    <t>03158</t>
  </si>
  <si>
    <t>Sinapali</t>
  </si>
  <si>
    <t>741.95346060126838</t>
  </si>
  <si>
    <t>03159</t>
  </si>
  <si>
    <t>Kesinga</t>
  </si>
  <si>
    <t>506.30785853201758</t>
  </si>
  <si>
    <t>03160</t>
  </si>
  <si>
    <t>Madanpur Rampur</t>
  </si>
  <si>
    <t>1112.5433984009219</t>
  </si>
  <si>
    <t>03161</t>
  </si>
  <si>
    <t>Narala</t>
  </si>
  <si>
    <t>575.41914571778432</t>
  </si>
  <si>
    <t>03162</t>
  </si>
  <si>
    <t>Lanjigarh</t>
  </si>
  <si>
    <t>433.74256284664699</t>
  </si>
  <si>
    <t>03163</t>
  </si>
  <si>
    <t>Biswanathpur</t>
  </si>
  <si>
    <t>244.83007995390045</t>
  </si>
  <si>
    <t>03164</t>
  </si>
  <si>
    <t>974.96391269898447</t>
  </si>
  <si>
    <t>03165</t>
  </si>
  <si>
    <t>Kegaon</t>
  </si>
  <si>
    <t>527.17712310019454</t>
  </si>
  <si>
    <t>03166</t>
  </si>
  <si>
    <t>Junagarh</t>
  </si>
  <si>
    <t>588.95512497298853</t>
  </si>
  <si>
    <t>03167</t>
  </si>
  <si>
    <t>Golamunda</t>
  </si>
  <si>
    <t>365.67</t>
  </si>
  <si>
    <t>03168</t>
  </si>
  <si>
    <t>Dharamgarh</t>
  </si>
  <si>
    <t>228.37</t>
  </si>
  <si>
    <t>03169</t>
  </si>
  <si>
    <t>Kokasara</t>
  </si>
  <si>
    <t>681.38356263055539</t>
  </si>
  <si>
    <t>03170</t>
  </si>
  <si>
    <t>Jayapatna</t>
  </si>
  <si>
    <t>590.27241950587052</t>
  </si>
  <si>
    <t>03171</t>
  </si>
  <si>
    <t>Thuamul Rampur</t>
  </si>
  <si>
    <t>1090.36721169776</t>
  </si>
  <si>
    <t>396</t>
  </si>
  <si>
    <t>03172</t>
  </si>
  <si>
    <t>Ambadala</t>
  </si>
  <si>
    <t>473.52556687794066</t>
  </si>
  <si>
    <t>03173</t>
  </si>
  <si>
    <t>Muniguda</t>
  </si>
  <si>
    <t>388.19676359366684</t>
  </si>
  <si>
    <t>03174</t>
  </si>
  <si>
    <t>611.0235381405447</t>
  </si>
  <si>
    <t>03175</t>
  </si>
  <si>
    <t>Bishamakatak</t>
  </si>
  <si>
    <t>665.08469732251717</t>
  </si>
  <si>
    <t>03176</t>
  </si>
  <si>
    <t>Kalyanasingpur</t>
  </si>
  <si>
    <t>552.35189513074874</t>
  </si>
  <si>
    <t>03177</t>
  </si>
  <si>
    <t>Kashipur</t>
  </si>
  <si>
    <t>769.78151582302542</t>
  </si>
  <si>
    <t>03178</t>
  </si>
  <si>
    <t>Andirakanch</t>
  </si>
  <si>
    <t>134.27162836797157</t>
  </si>
  <si>
    <t>03179</t>
  </si>
  <si>
    <t>Tikiri</t>
  </si>
  <si>
    <t>235.04505458303183</t>
  </si>
  <si>
    <t>03180</t>
  </si>
  <si>
    <t>Doraguda</t>
  </si>
  <si>
    <t>193.81956204050718</t>
  </si>
  <si>
    <t>03181</t>
  </si>
  <si>
    <t>892.68128127226203</t>
  </si>
  <si>
    <t>03182</t>
  </si>
  <si>
    <t>Seskhal</t>
  </si>
  <si>
    <t>342.08196746699252</t>
  </si>
  <si>
    <t>03183</t>
  </si>
  <si>
    <t>Gunupur</t>
  </si>
  <si>
    <t>637.26246878053325</t>
  </si>
  <si>
    <t>03184</t>
  </si>
  <si>
    <t>Gudari</t>
  </si>
  <si>
    <t>574.5280236071261</t>
  </si>
  <si>
    <t>03185</t>
  </si>
  <si>
    <t>215.26876758074826</t>
  </si>
  <si>
    <t>03186</t>
  </si>
  <si>
    <t>Puttasing</t>
  </si>
  <si>
    <t>388.07726941238423</t>
  </si>
  <si>
    <t>03187</t>
  </si>
  <si>
    <t>Raighar</t>
  </si>
  <si>
    <t>585.95541776768482</t>
  </si>
  <si>
    <t>03188</t>
  </si>
  <si>
    <t>Kundei</t>
  </si>
  <si>
    <t>224.80195700058005</t>
  </si>
  <si>
    <t>03189</t>
  </si>
  <si>
    <t>Umarkote</t>
  </si>
  <si>
    <t>838.56927031402245</t>
  </si>
  <si>
    <t>03190</t>
  </si>
  <si>
    <t>Chandahandi</t>
  </si>
  <si>
    <t>265.01035557358466</t>
  </si>
  <si>
    <t>03191</t>
  </si>
  <si>
    <t>Jharigan</t>
  </si>
  <si>
    <t>588.50291919885046</t>
  </si>
  <si>
    <t>03192</t>
  </si>
  <si>
    <t>Dabugan</t>
  </si>
  <si>
    <t>785.51303972006019</t>
  </si>
  <si>
    <t>03193</t>
  </si>
  <si>
    <t>Paparahandi</t>
  </si>
  <si>
    <t>470.3750772450345</t>
  </si>
  <si>
    <t>03194</t>
  </si>
  <si>
    <t>Kodinga</t>
  </si>
  <si>
    <t>421.95249098649964</t>
  </si>
  <si>
    <t>03195</t>
  </si>
  <si>
    <t>Kosagumuda</t>
  </si>
  <si>
    <t>412.52472978454796</t>
  </si>
  <si>
    <t>03196</t>
  </si>
  <si>
    <t>Nabarangapur P.S</t>
  </si>
  <si>
    <t>290.41516315288641</t>
  </si>
  <si>
    <t>03197</t>
  </si>
  <si>
    <t>Tentulikhunti</t>
  </si>
  <si>
    <t>245.56309071126091</t>
  </si>
  <si>
    <t>03198</t>
  </si>
  <si>
    <t>Khatiguda</t>
  </si>
  <si>
    <t>161.81648854498789</t>
  </si>
  <si>
    <t>03199</t>
  </si>
  <si>
    <t>Kotpad</t>
  </si>
  <si>
    <t>540.52620487650802</t>
  </si>
  <si>
    <t>03200</t>
  </si>
  <si>
    <t>Boriguma</t>
  </si>
  <si>
    <t>387.81320866923795</t>
  </si>
  <si>
    <t>03201</t>
  </si>
  <si>
    <t>Bhairabsingipur</t>
  </si>
  <si>
    <t>362.00608144622197</t>
  </si>
  <si>
    <t>03202</t>
  </si>
  <si>
    <t>Dasamantapur</t>
  </si>
  <si>
    <t>603.28913828288296</t>
  </si>
  <si>
    <t>03203</t>
  </si>
  <si>
    <t>317.65042109912673</t>
  </si>
  <si>
    <t>03204</t>
  </si>
  <si>
    <t>Narayanpatana</t>
  </si>
  <si>
    <t>568.78908399527211</t>
  </si>
  <si>
    <t>03205</t>
  </si>
  <si>
    <t>Bandhugaon</t>
  </si>
  <si>
    <t>424.8124794879198</t>
  </si>
  <si>
    <t>03206</t>
  </si>
  <si>
    <t>Kakiriguma</t>
  </si>
  <si>
    <t>195.91684371830655</t>
  </si>
  <si>
    <t>03207</t>
  </si>
  <si>
    <t>Koraput</t>
  </si>
  <si>
    <t>746.59204094272911</t>
  </si>
  <si>
    <t>03208</t>
  </si>
  <si>
    <t>Koraput Town</t>
  </si>
  <si>
    <t>104.96709430498287</t>
  </si>
  <si>
    <t>03209</t>
  </si>
  <si>
    <t>Jeypore</t>
  </si>
  <si>
    <t>342.05581383297681</t>
  </si>
  <si>
    <t>03210</t>
  </si>
  <si>
    <t>Kundura</t>
  </si>
  <si>
    <t>294.05999027758241</t>
  </si>
  <si>
    <t>03211</t>
  </si>
  <si>
    <t>Boipariguda</t>
  </si>
  <si>
    <t>1280.3160303911916</t>
  </si>
  <si>
    <t>03212</t>
  </si>
  <si>
    <t>Machh kund</t>
  </si>
  <si>
    <t>398.38</t>
  </si>
  <si>
    <t>03213</t>
  </si>
  <si>
    <t>Padua</t>
  </si>
  <si>
    <t>474.24263600897228</t>
  </si>
  <si>
    <t>03214</t>
  </si>
  <si>
    <t>Nandapur</t>
  </si>
  <si>
    <t>659.89</t>
  </si>
  <si>
    <t>03215</t>
  </si>
  <si>
    <t>Similiguda</t>
  </si>
  <si>
    <t>156.02717465064688</t>
  </si>
  <si>
    <t>03216</t>
  </si>
  <si>
    <t>Sunabeda</t>
  </si>
  <si>
    <t>82.376350095866997</t>
  </si>
  <si>
    <t>03217</t>
  </si>
  <si>
    <t>Damonjodi</t>
  </si>
  <si>
    <t>59.611747345459214</t>
  </si>
  <si>
    <t>03218</t>
  </si>
  <si>
    <t>Pottangi</t>
  </si>
  <si>
    <t>739.60510081456096</t>
  </si>
  <si>
    <t>03219</t>
  </si>
  <si>
    <t>Kotiya</t>
  </si>
  <si>
    <t>68.065618915777705</t>
  </si>
  <si>
    <t>03220</t>
  </si>
  <si>
    <t>Malkangiri</t>
  </si>
  <si>
    <t>1191.3760380446265</t>
  </si>
  <si>
    <t>03221</t>
  </si>
  <si>
    <t>Mathili</t>
  </si>
  <si>
    <t>618.08464428059347</t>
  </si>
  <si>
    <t>03222</t>
  </si>
  <si>
    <t>Mudulipada</t>
  </si>
  <si>
    <t>420.01967405667295</t>
  </si>
  <si>
    <t>03223</t>
  </si>
  <si>
    <t>Chitrakonda</t>
  </si>
  <si>
    <t>570.20148898302955</t>
  </si>
  <si>
    <t>03224</t>
  </si>
  <si>
    <t>Paparmetla</t>
  </si>
  <si>
    <t>221.12519919355702</t>
  </si>
  <si>
    <t>03225</t>
  </si>
  <si>
    <t>Jodamba</t>
  </si>
  <si>
    <t>338.43789279178941</t>
  </si>
  <si>
    <t>03226</t>
  </si>
  <si>
    <t>Orkel</t>
  </si>
  <si>
    <t>440.87134692445142</t>
  </si>
  <si>
    <t>03227</t>
  </si>
  <si>
    <t>Kalimela</t>
  </si>
  <si>
    <t>824.86978202405714</t>
  </si>
  <si>
    <t>03228</t>
  </si>
  <si>
    <t>Podia</t>
  </si>
  <si>
    <t>348.38157965414626</t>
  </si>
  <si>
    <t>03229</t>
  </si>
  <si>
    <t>M.V. 79</t>
  </si>
  <si>
    <t>345.89306573655955</t>
  </si>
  <si>
    <t>03230</t>
  </si>
  <si>
    <t>Motu</t>
  </si>
  <si>
    <t>471.73928831051626</t>
  </si>
  <si>
    <t>03231</t>
  </si>
  <si>
    <t>2347.8173528051279</t>
  </si>
  <si>
    <t>03232</t>
  </si>
  <si>
    <t>690.95196558766247</t>
  </si>
  <si>
    <t>03233</t>
  </si>
  <si>
    <t>Sonhat</t>
  </si>
  <si>
    <t>1439.5083718017704</t>
  </si>
  <si>
    <t>03234</t>
  </si>
  <si>
    <t>Manendragarh</t>
  </si>
  <si>
    <t>1098.7340501521433</t>
  </si>
  <si>
    <t>03235</t>
  </si>
  <si>
    <t>Khadganva</t>
  </si>
  <si>
    <t>1026.9882596532964</t>
  </si>
  <si>
    <t>03236</t>
  </si>
  <si>
    <t>Ramanujganj</t>
  </si>
  <si>
    <t>1134.1337599585192</t>
  </si>
  <si>
    <t>03237</t>
  </si>
  <si>
    <t>1240.0943134425293</t>
  </si>
  <si>
    <t>03238</t>
  </si>
  <si>
    <t>Wadrafnagar</t>
  </si>
  <si>
    <t>1307.7346864000658</t>
  </si>
  <si>
    <t>03239</t>
  </si>
  <si>
    <t>1358.5299949339362</t>
  </si>
  <si>
    <t>03240</t>
  </si>
  <si>
    <t>Samri(kusmi)</t>
  </si>
  <si>
    <t>1302.7612825739307</t>
  </si>
  <si>
    <t>03241</t>
  </si>
  <si>
    <t>Shankargarh</t>
  </si>
  <si>
    <t>531.63397887067777</t>
  </si>
  <si>
    <t>03242</t>
  </si>
  <si>
    <t>Surajpur</t>
  </si>
  <si>
    <t>744.75161604791469</t>
  </si>
  <si>
    <t>03243</t>
  </si>
  <si>
    <t>Oudgi</t>
  </si>
  <si>
    <t>1614.81</t>
  </si>
  <si>
    <t>03244</t>
  </si>
  <si>
    <t>Bhaiyathan</t>
  </si>
  <si>
    <t>726.5</t>
  </si>
  <si>
    <t>03245</t>
  </si>
  <si>
    <t>Ramanujnagar</t>
  </si>
  <si>
    <t>435.74508836511643</t>
  </si>
  <si>
    <t>03246</t>
  </si>
  <si>
    <t>Premnagar</t>
  </si>
  <si>
    <t>576.20733031662235</t>
  </si>
  <si>
    <t>03247</t>
  </si>
  <si>
    <t>Ambikapur</t>
  </si>
  <si>
    <t>732.53660330339108</t>
  </si>
  <si>
    <t>03248</t>
  </si>
  <si>
    <t>671.59679951746739</t>
  </si>
  <si>
    <t>03249</t>
  </si>
  <si>
    <t>Udaypur</t>
  </si>
  <si>
    <t>711.70657305250847</t>
  </si>
  <si>
    <t>03250</t>
  </si>
  <si>
    <t>748.94467408543005</t>
  </si>
  <si>
    <t>03251</t>
  </si>
  <si>
    <t>Lundra</t>
  </si>
  <si>
    <t>587.39228662016819</t>
  </si>
  <si>
    <t>03252</t>
  </si>
  <si>
    <t>523.33109967976657</t>
  </si>
  <si>
    <t>03253</t>
  </si>
  <si>
    <t>Batouli</t>
  </si>
  <si>
    <t>377.01106200835704</t>
  </si>
  <si>
    <t>03254</t>
  </si>
  <si>
    <t>Mainpat</t>
  </si>
  <si>
    <t>406.58096509177778</t>
  </si>
  <si>
    <t>03255</t>
  </si>
  <si>
    <t>Bagicha</t>
  </si>
  <si>
    <t>1486.17</t>
  </si>
  <si>
    <t>03256</t>
  </si>
  <si>
    <t>Kansabel</t>
  </si>
  <si>
    <t>561.41999999999996</t>
  </si>
  <si>
    <t>03257</t>
  </si>
  <si>
    <t>Jashpur</t>
  </si>
  <si>
    <t>757.88</t>
  </si>
  <si>
    <t>03258</t>
  </si>
  <si>
    <t>Manora</t>
  </si>
  <si>
    <t>619.66</t>
  </si>
  <si>
    <t>03259</t>
  </si>
  <si>
    <t>Kunkuri</t>
  </si>
  <si>
    <t>426.69367558373284</t>
  </si>
  <si>
    <t>03260</t>
  </si>
  <si>
    <t>Duldula</t>
  </si>
  <si>
    <t>521.79234628858444</t>
  </si>
  <si>
    <t>03261</t>
  </si>
  <si>
    <t>Farsabahar</t>
  </si>
  <si>
    <t>660.96948433159332</t>
  </si>
  <si>
    <t>03262</t>
  </si>
  <si>
    <t>Pathalgaon</t>
  </si>
  <si>
    <t>803.42552907866457</t>
  </si>
  <si>
    <t>03263</t>
  </si>
  <si>
    <t>Udaipur (Dharamjaigarh)</t>
  </si>
  <si>
    <t>1935.6808775572456</t>
  </si>
  <si>
    <t>03264</t>
  </si>
  <si>
    <t>Lailunga</t>
  </si>
  <si>
    <t>795.40261504750151</t>
  </si>
  <si>
    <t>03265</t>
  </si>
  <si>
    <t>Gharghoda</t>
  </si>
  <si>
    <t>481.19487895126957</t>
  </si>
  <si>
    <t>03266</t>
  </si>
  <si>
    <t>Tamnar</t>
  </si>
  <si>
    <t>729.01290430010715</t>
  </si>
  <si>
    <t>03267</t>
  </si>
  <si>
    <t>Raigarh</t>
  </si>
  <si>
    <t>652.4214402654834</t>
  </si>
  <si>
    <t>03268</t>
  </si>
  <si>
    <t>Pusour</t>
  </si>
  <si>
    <t>473.76023377163057</t>
  </si>
  <si>
    <t>03269</t>
  </si>
  <si>
    <t>Kharsia</t>
  </si>
  <si>
    <t>514.06603488596568</t>
  </si>
  <si>
    <t>03270</t>
  </si>
  <si>
    <t>Sarangarh</t>
  </si>
  <si>
    <t>883.54283971229472</t>
  </si>
  <si>
    <t>03271</t>
  </si>
  <si>
    <t>Baramkela</t>
  </si>
  <si>
    <t>620.91817550850192</t>
  </si>
  <si>
    <t>03272</t>
  </si>
  <si>
    <t>Katghora</t>
  </si>
  <si>
    <t>570.91999999999996</t>
  </si>
  <si>
    <t>03273</t>
  </si>
  <si>
    <t>Poundi-Uproda</t>
  </si>
  <si>
    <t>2075.3200000000002</t>
  </si>
  <si>
    <t>03274</t>
  </si>
  <si>
    <t>1293.7024586367374</t>
  </si>
  <si>
    <t>03275</t>
  </si>
  <si>
    <t>Korba</t>
  </si>
  <si>
    <t>1996.4307986552014</t>
  </si>
  <si>
    <t>03276</t>
  </si>
  <si>
    <t>Kartala</t>
  </si>
  <si>
    <t>661.62740136937532</t>
  </si>
  <si>
    <t>03277</t>
  </si>
  <si>
    <t>Janjgir</t>
  </si>
  <si>
    <t>237.98879870479138</t>
  </si>
  <si>
    <t>03278</t>
  </si>
  <si>
    <t>Akaltara</t>
  </si>
  <si>
    <t>380.9354385851675</t>
  </si>
  <si>
    <t>03279</t>
  </si>
  <si>
    <t>Baloda</t>
  </si>
  <si>
    <t>394.26123625723443</t>
  </si>
  <si>
    <t>03280</t>
  </si>
  <si>
    <t>Nawagarh</t>
  </si>
  <si>
    <t>377.68170571656015</t>
  </si>
  <si>
    <t>03281</t>
  </si>
  <si>
    <t>Champa</t>
  </si>
  <si>
    <t>387.60869962778889</t>
  </si>
  <si>
    <t>03282</t>
  </si>
  <si>
    <t>Sakti</t>
  </si>
  <si>
    <t>403.99134824329263</t>
  </si>
  <si>
    <t>03283</t>
  </si>
  <si>
    <t>Pamgarh</t>
  </si>
  <si>
    <t>442.21752834613477</t>
  </si>
  <si>
    <t>03284</t>
  </si>
  <si>
    <t>Dabhra</t>
  </si>
  <si>
    <t>436.67374782159686</t>
  </si>
  <si>
    <t>03285</t>
  </si>
  <si>
    <t>Malkharoda</t>
  </si>
  <si>
    <t>341.06166763484583</t>
  </si>
  <si>
    <t>03286</t>
  </si>
  <si>
    <t>Jaijaipur</t>
  </si>
  <si>
    <t>450.57982906258735</t>
  </si>
  <si>
    <t>03287</t>
  </si>
  <si>
    <t>Pendra Road Gorella</t>
  </si>
  <si>
    <t>778.1</t>
  </si>
  <si>
    <t>03288</t>
  </si>
  <si>
    <t>Marwahi</t>
  </si>
  <si>
    <t>690.32134266195658</t>
  </si>
  <si>
    <t>03289</t>
  </si>
  <si>
    <t>Pendra</t>
  </si>
  <si>
    <t>509.76</t>
  </si>
  <si>
    <t>03290</t>
  </si>
  <si>
    <t>Lormi</t>
  </si>
  <si>
    <t>1642.5604414554234</t>
  </si>
  <si>
    <t>03291</t>
  </si>
  <si>
    <t>Kota</t>
  </si>
  <si>
    <t>1155.7265595517467</t>
  </si>
  <si>
    <t>03292</t>
  </si>
  <si>
    <t>Mungeli</t>
  </si>
  <si>
    <t>692.46015929782993</t>
  </si>
  <si>
    <t>03293</t>
  </si>
  <si>
    <t>Pathariya</t>
  </si>
  <si>
    <t>422.6745140966334</t>
  </si>
  <si>
    <t>03294</t>
  </si>
  <si>
    <t>Takhatpur</t>
  </si>
  <si>
    <t>714.35310935668576</t>
  </si>
  <si>
    <t>03295</t>
  </si>
  <si>
    <t>448.41268484571304</t>
  </si>
  <si>
    <t>03296</t>
  </si>
  <si>
    <t>Masturi</t>
  </si>
  <si>
    <t>853.93875505771859</t>
  </si>
  <si>
    <t>03297</t>
  </si>
  <si>
    <t>Bilha</t>
  </si>
  <si>
    <t>363.69379028368212</t>
  </si>
  <si>
    <t>03298</t>
  </si>
  <si>
    <t>Kawardha</t>
  </si>
  <si>
    <t>641.07447090307301</t>
  </si>
  <si>
    <t>03299</t>
  </si>
  <si>
    <t>Bodla</t>
  </si>
  <si>
    <t>1879.5254652265296</t>
  </si>
  <si>
    <t>03300</t>
  </si>
  <si>
    <t>Sahaspur Lohara</t>
  </si>
  <si>
    <t>569.04834345439826</t>
  </si>
  <si>
    <t>03301</t>
  </si>
  <si>
    <t>Pandariya</t>
  </si>
  <si>
    <t>1145.3517204159994</t>
  </si>
  <si>
    <t>408</t>
  </si>
  <si>
    <t>03302</t>
  </si>
  <si>
    <t>Chhuikhadan</t>
  </si>
  <si>
    <t>1341.9568727470933</t>
  </si>
  <si>
    <t>03303</t>
  </si>
  <si>
    <t>Khairagarh</t>
  </si>
  <si>
    <t>991.4716075918775</t>
  </si>
  <si>
    <t>03304</t>
  </si>
  <si>
    <t>Dongargarh</t>
  </si>
  <si>
    <t>1044.8784908803882</t>
  </si>
  <si>
    <t>03305</t>
  </si>
  <si>
    <t>Rajnandgaon</t>
  </si>
  <si>
    <t>745.27915473258224</t>
  </si>
  <si>
    <t>03306</t>
  </si>
  <si>
    <t>Chhuriya</t>
  </si>
  <si>
    <t>1021.847550534527</t>
  </si>
  <si>
    <t>03307</t>
  </si>
  <si>
    <t>Dongargaon</t>
  </si>
  <si>
    <t>433.89461667806512</t>
  </si>
  <si>
    <t>03308</t>
  </si>
  <si>
    <t>Mohla</t>
  </si>
  <si>
    <t>798.06358017390767</t>
  </si>
  <si>
    <t>03309</t>
  </si>
  <si>
    <t>1140.6643792647747</t>
  </si>
  <si>
    <t>03310</t>
  </si>
  <si>
    <t>Ambagarh</t>
  </si>
  <si>
    <t>551.94374739678403</t>
  </si>
  <si>
    <t>03311</t>
  </si>
  <si>
    <t>625.01677748278166</t>
  </si>
  <si>
    <t>03312</t>
  </si>
  <si>
    <t>Bemetara</t>
  </si>
  <si>
    <t>733.02347996249239</t>
  </si>
  <si>
    <t>03313</t>
  </si>
  <si>
    <t>Saja</t>
  </si>
  <si>
    <t>513.0448121153006</t>
  </si>
  <si>
    <t>03314</t>
  </si>
  <si>
    <t>Thanakhamria</t>
  </si>
  <si>
    <t>215.02727937214877</t>
  </si>
  <si>
    <t>03315</t>
  </si>
  <si>
    <t>Berla</t>
  </si>
  <si>
    <t>777.60673677655848</t>
  </si>
  <si>
    <t>03316</t>
  </si>
  <si>
    <t>Dhamdha</t>
  </si>
  <si>
    <t>888.34345009261358</t>
  </si>
  <si>
    <t>03317</t>
  </si>
  <si>
    <t>Durg</t>
  </si>
  <si>
    <t>639.4245913263029</t>
  </si>
  <si>
    <t>03318</t>
  </si>
  <si>
    <t>770.51701281753469</t>
  </si>
  <si>
    <t>03319</t>
  </si>
  <si>
    <t>Gunderdehi</t>
  </si>
  <si>
    <t>685.59602934934503</t>
  </si>
  <si>
    <t>03320</t>
  </si>
  <si>
    <t>Dondi Luhara</t>
  </si>
  <si>
    <t>953.8118088181817</t>
  </si>
  <si>
    <t>03321</t>
  </si>
  <si>
    <t>Balod</t>
  </si>
  <si>
    <t>333.82946196516076</t>
  </si>
  <si>
    <t>03322</t>
  </si>
  <si>
    <t>Dondi</t>
  </si>
  <si>
    <t>850.44508673332257</t>
  </si>
  <si>
    <t>03323</t>
  </si>
  <si>
    <t>Gurur</t>
  </si>
  <si>
    <t>549.31347318825692</t>
  </si>
  <si>
    <t>03324</t>
  </si>
  <si>
    <t>Simga</t>
  </si>
  <si>
    <t>608.55838916751418</t>
  </si>
  <si>
    <t>03325</t>
  </si>
  <si>
    <t>Bhatapara</t>
  </si>
  <si>
    <t>467.5335410417793</t>
  </si>
  <si>
    <t>03326</t>
  </si>
  <si>
    <t>Baloda Bazar</t>
  </si>
  <si>
    <t>617.29288478783576</t>
  </si>
  <si>
    <t>03327</t>
  </si>
  <si>
    <t>Palari</t>
  </si>
  <si>
    <t>593.32476647425221</t>
  </si>
  <si>
    <t>03328</t>
  </si>
  <si>
    <t>Kasdol</t>
  </si>
  <si>
    <t>1665.152938157986</t>
  </si>
  <si>
    <t>03329</t>
  </si>
  <si>
    <t>Bilaigarh</t>
  </si>
  <si>
    <t>700.36373353703027</t>
  </si>
  <si>
    <t>03330</t>
  </si>
  <si>
    <t>Arang</t>
  </si>
  <si>
    <t>902.56109779039559</t>
  </si>
  <si>
    <t>03331</t>
  </si>
  <si>
    <t>Abhanpur</t>
  </si>
  <si>
    <t>600.44482925479861</t>
  </si>
  <si>
    <t>03332</t>
  </si>
  <si>
    <t>653.13122404514991</t>
  </si>
  <si>
    <t>03333</t>
  </si>
  <si>
    <t>Rajim</t>
  </si>
  <si>
    <t>497.14182536611537</t>
  </si>
  <si>
    <t>03334</t>
  </si>
  <si>
    <t>Tilda</t>
  </si>
  <si>
    <t>740.22780596532198</t>
  </si>
  <si>
    <t>03335</t>
  </si>
  <si>
    <t>Bindranavagarh(Gariyaband)</t>
  </si>
  <si>
    <t>1330.78</t>
  </si>
  <si>
    <t>03336</t>
  </si>
  <si>
    <t>Chhura</t>
  </si>
  <si>
    <t>1035.1300000000001</t>
  </si>
  <si>
    <t>03337</t>
  </si>
  <si>
    <t>Mainpur</t>
  </si>
  <si>
    <t>1515.5591772672913</t>
  </si>
  <si>
    <t>03338</t>
  </si>
  <si>
    <t>Deobhog</t>
  </si>
  <si>
    <t>455.79785616802991</t>
  </si>
  <si>
    <t>03339</t>
  </si>
  <si>
    <t>Basna</t>
  </si>
  <si>
    <t>684.49763259537781</t>
  </si>
  <si>
    <t>03340</t>
  </si>
  <si>
    <t>Saraipali</t>
  </si>
  <si>
    <t>993.51034526377316</t>
  </si>
  <si>
    <t>03341</t>
  </si>
  <si>
    <t>Mahasamund</t>
  </si>
  <si>
    <t>1014.6648666685569</t>
  </si>
  <si>
    <t>03342</t>
  </si>
  <si>
    <t>Pithora</t>
  </si>
  <si>
    <t>974.36158588848025</t>
  </si>
  <si>
    <t>03343</t>
  </si>
  <si>
    <t>Bagbahra</t>
  </si>
  <si>
    <t>1122.9655695838123</t>
  </si>
  <si>
    <t>03344</t>
  </si>
  <si>
    <t>Kurud</t>
  </si>
  <si>
    <t>588.45187796403843</t>
  </si>
  <si>
    <t>03345</t>
  </si>
  <si>
    <t>Magarlod</t>
  </si>
  <si>
    <t>743.93616190307114</t>
  </si>
  <si>
    <t>03346</t>
  </si>
  <si>
    <t>Dhamtari</t>
  </si>
  <si>
    <t>681.4400142020238</t>
  </si>
  <si>
    <t>03347</t>
  </si>
  <si>
    <t>2070.1719459308665</t>
  </si>
  <si>
    <t>413</t>
  </si>
  <si>
    <t>03348</t>
  </si>
  <si>
    <t>Charama</t>
  </si>
  <si>
    <t>520.99014854950349</t>
  </si>
  <si>
    <t>03349</t>
  </si>
  <si>
    <t>Bhanupratappur</t>
  </si>
  <si>
    <t>696.90193485944405</t>
  </si>
  <si>
    <t>03350</t>
  </si>
  <si>
    <t>Durgkondal</t>
  </si>
  <si>
    <t>899.7429938039561</t>
  </si>
  <si>
    <t>03351</t>
  </si>
  <si>
    <t>Kanker</t>
  </si>
  <si>
    <t>633.35875266810115</t>
  </si>
  <si>
    <t>03352</t>
  </si>
  <si>
    <t>Narharpur</t>
  </si>
  <si>
    <t>896.81388103941435</t>
  </si>
  <si>
    <t>03353</t>
  </si>
  <si>
    <t>Antagarh</t>
  </si>
  <si>
    <t>1603.3385701570182</t>
  </si>
  <si>
    <t>03354</t>
  </si>
  <si>
    <t>Pakhanjur</t>
  </si>
  <si>
    <t>1909.8537189225624</t>
  </si>
  <si>
    <t>03355</t>
  </si>
  <si>
    <t>Keskal</t>
  </si>
  <si>
    <t>868.88936158819035</t>
  </si>
  <si>
    <t>03356</t>
  </si>
  <si>
    <t>Bade Rajpur</t>
  </si>
  <si>
    <t>559.55291240617487</t>
  </si>
  <si>
    <t>03357</t>
  </si>
  <si>
    <t>Kondagaon</t>
  </si>
  <si>
    <t>1839.3230615444572</t>
  </si>
  <si>
    <t>03358</t>
  </si>
  <si>
    <t>Makdi</t>
  </si>
  <si>
    <t>955.97038059566057</t>
  </si>
  <si>
    <t>03359</t>
  </si>
  <si>
    <t>Farasgaon</t>
  </si>
  <si>
    <t>872.87637855478965</t>
  </si>
  <si>
    <t>03360</t>
  </si>
  <si>
    <t>Jagdalpur</t>
  </si>
  <si>
    <t>719.55</t>
  </si>
  <si>
    <t>03361</t>
  </si>
  <si>
    <t>Lohandiguda</t>
  </si>
  <si>
    <t>595.6437222392459</t>
  </si>
  <si>
    <t>03362</t>
  </si>
  <si>
    <t>Bastanar</t>
  </si>
  <si>
    <t>320.29036298347967</t>
  </si>
  <si>
    <t>03363</t>
  </si>
  <si>
    <t>Bastar</t>
  </si>
  <si>
    <t>1224.5022030101359</t>
  </si>
  <si>
    <t>03364</t>
  </si>
  <si>
    <t>Bakavand</t>
  </si>
  <si>
    <t>1179.98</t>
  </si>
  <si>
    <t>03365</t>
  </si>
  <si>
    <t>Tokapal</t>
  </si>
  <si>
    <t>354.4395786166703</t>
  </si>
  <si>
    <t>03366</t>
  </si>
  <si>
    <t>Darbha</t>
  </si>
  <si>
    <t>978.97879100707758</t>
  </si>
  <si>
    <t>03367</t>
  </si>
  <si>
    <t>1243.0988523644905</t>
  </si>
  <si>
    <t>03368</t>
  </si>
  <si>
    <t>Orchha</t>
  </si>
  <si>
    <t>3409.9011476355095</t>
  </si>
  <si>
    <t>03369</t>
  </si>
  <si>
    <t>Dantewada</t>
  </si>
  <si>
    <t>822.20105120076857</t>
  </si>
  <si>
    <t>03370</t>
  </si>
  <si>
    <t>Gidam</t>
  </si>
  <si>
    <t>856.93023059298434</t>
  </si>
  <si>
    <t>03371</t>
  </si>
  <si>
    <t>Katekalyan</t>
  </si>
  <si>
    <t>510.85050206063357</t>
  </si>
  <si>
    <t>03372</t>
  </si>
  <si>
    <t>Kuakonda</t>
  </si>
  <si>
    <t>655.39681259702593</t>
  </si>
  <si>
    <t>03373</t>
  </si>
  <si>
    <t>Konta</t>
  </si>
  <si>
    <t>3576.0637021871444</t>
  </si>
  <si>
    <t>03374</t>
  </si>
  <si>
    <t>Chhindgarh</t>
  </si>
  <si>
    <t>979.63932997419079</t>
  </si>
  <si>
    <t>03375</t>
  </si>
  <si>
    <t>Sukma</t>
  </si>
  <si>
    <t>896.9183713872518</t>
  </si>
  <si>
    <t>03376</t>
  </si>
  <si>
    <t>Bhopalpattnam</t>
  </si>
  <si>
    <t>1982.1893918754868</t>
  </si>
  <si>
    <t>03377</t>
  </si>
  <si>
    <t>Usur</t>
  </si>
  <si>
    <t>2304.9749507278825</t>
  </si>
  <si>
    <t>03378</t>
  </si>
  <si>
    <t>Bijapur</t>
  </si>
  <si>
    <t>1544.5615208983315</t>
  </si>
  <si>
    <t>03379</t>
  </si>
  <si>
    <t>Bhairamgarh</t>
  </si>
  <si>
    <t>2698.2741364983003</t>
  </si>
  <si>
    <t>03380</t>
  </si>
  <si>
    <t>Vijaypur</t>
  </si>
  <si>
    <t>1828.7492177762144</t>
  </si>
  <si>
    <t>03381</t>
  </si>
  <si>
    <t>Beerpur</t>
  </si>
  <si>
    <t>1019.4302381781647</t>
  </si>
  <si>
    <t>03382</t>
  </si>
  <si>
    <t>Sheopur</t>
  </si>
  <si>
    <t>1184.275735601557</t>
  </si>
  <si>
    <t>03383</t>
  </si>
  <si>
    <t>Badoda</t>
  </si>
  <si>
    <t>367.29991276905588</t>
  </si>
  <si>
    <t>03384</t>
  </si>
  <si>
    <t>Karahal</t>
  </si>
  <si>
    <t>2206.2513287219749</t>
  </si>
  <si>
    <t>03385</t>
  </si>
  <si>
    <t>Ambah</t>
  </si>
  <si>
    <t>536.58726965894311</t>
  </si>
  <si>
    <t>03386</t>
  </si>
  <si>
    <t>Porsa</t>
  </si>
  <si>
    <t>525.02642583443219</t>
  </si>
  <si>
    <t>03387</t>
  </si>
  <si>
    <t>Morena</t>
  </si>
  <si>
    <t>1070.6296994823019</t>
  </si>
  <si>
    <t>03388</t>
  </si>
  <si>
    <t>Joura</t>
  </si>
  <si>
    <t>1579.4522471799535</t>
  </si>
  <si>
    <t>03389</t>
  </si>
  <si>
    <t>Kailaras</t>
  </si>
  <si>
    <t>506.8282242346632</t>
  </si>
  <si>
    <t>03390</t>
  </si>
  <si>
    <t>Sabalgarh</t>
  </si>
  <si>
    <t>770.47363120117996</t>
  </si>
  <si>
    <t>03391</t>
  </si>
  <si>
    <t>Ater</t>
  </si>
  <si>
    <t>447.072137642222</t>
  </si>
  <si>
    <t>03392</t>
  </si>
  <si>
    <t>Bhind</t>
  </si>
  <si>
    <t>1189.018994878945</t>
  </si>
  <si>
    <t>03393</t>
  </si>
  <si>
    <t>Mehgaon</t>
  </si>
  <si>
    <t>570.66772419800952</t>
  </si>
  <si>
    <t>03394</t>
  </si>
  <si>
    <t>Gormi</t>
  </si>
  <si>
    <t>401.57676608489356</t>
  </si>
  <si>
    <t>03395</t>
  </si>
  <si>
    <t>Gohad</t>
  </si>
  <si>
    <t>1029.9666781306555</t>
  </si>
  <si>
    <t>03396</t>
  </si>
  <si>
    <t>Ron</t>
  </si>
  <si>
    <t>253.0090220843723</t>
  </si>
  <si>
    <t>03397</t>
  </si>
  <si>
    <t>Mihona</t>
  </si>
  <si>
    <t>171.28950353599117</t>
  </si>
  <si>
    <t>03398</t>
  </si>
  <si>
    <t>Lahar</t>
  </si>
  <si>
    <t>396.40188794331459</t>
  </si>
  <si>
    <t>03399</t>
  </si>
  <si>
    <t>Gwalior (Gird)</t>
  </si>
  <si>
    <t>2667.8392346854071</t>
  </si>
  <si>
    <t>03400</t>
  </si>
  <si>
    <t>Dabra (Pichhore)</t>
  </si>
  <si>
    <t>985.53461909405337</t>
  </si>
  <si>
    <t>03401</t>
  </si>
  <si>
    <t>Bhitarwar</t>
  </si>
  <si>
    <t>408.52439867334948</t>
  </si>
  <si>
    <t>03402</t>
  </si>
  <si>
    <t>Chinour</t>
  </si>
  <si>
    <t>498.0976939637149</t>
  </si>
  <si>
    <t>422</t>
  </si>
  <si>
    <t>03403</t>
  </si>
  <si>
    <t>Seondha</t>
  </si>
  <si>
    <t>479.51662806936361</t>
  </si>
  <si>
    <t>03404</t>
  </si>
  <si>
    <t>Indergarh</t>
  </si>
  <si>
    <t>546.43378467060927</t>
  </si>
  <si>
    <t>03405</t>
  </si>
  <si>
    <t>Datia</t>
  </si>
  <si>
    <t>1205.7705564553066</t>
  </si>
  <si>
    <t>03406</t>
  </si>
  <si>
    <t>Bhander</t>
  </si>
  <si>
    <t>670.28685195581033</t>
  </si>
  <si>
    <t>03407</t>
  </si>
  <si>
    <t>Pohri</t>
  </si>
  <si>
    <t>1551.1681756988014</t>
  </si>
  <si>
    <t>03408</t>
  </si>
  <si>
    <t>Shivpuri</t>
  </si>
  <si>
    <t>1937.3360209693506</t>
  </si>
  <si>
    <t>03409</t>
  </si>
  <si>
    <t>Narwar</t>
  </si>
  <si>
    <t>937.10416246081081</t>
  </si>
  <si>
    <t>03410</t>
  </si>
  <si>
    <t>Karera</t>
  </si>
  <si>
    <t>1011.4462003897839</t>
  </si>
  <si>
    <t>03411</t>
  </si>
  <si>
    <t>Kolaras</t>
  </si>
  <si>
    <t>1188.5982338791748</t>
  </si>
  <si>
    <t>03412</t>
  </si>
  <si>
    <t>Badarwas</t>
  </si>
  <si>
    <t>1081.9145626553354</t>
  </si>
  <si>
    <t>03413</t>
  </si>
  <si>
    <t>Pichhore</t>
  </si>
  <si>
    <t>1405.6257423080397</t>
  </si>
  <si>
    <t>03414</t>
  </si>
  <si>
    <t>Khaniyadhana</t>
  </si>
  <si>
    <t>952.81237479673302</t>
  </si>
  <si>
    <t>03415</t>
  </si>
  <si>
    <t>Niwari</t>
  </si>
  <si>
    <t>398.38593120764926</t>
  </si>
  <si>
    <t>03416</t>
  </si>
  <si>
    <t>197.74912283338739</t>
  </si>
  <si>
    <t>03417</t>
  </si>
  <si>
    <t>Prithvipur</t>
  </si>
  <si>
    <t>725.15309105859183</t>
  </si>
  <si>
    <t>03418</t>
  </si>
  <si>
    <t>Jatara</t>
  </si>
  <si>
    <t>649.56244897598901</t>
  </si>
  <si>
    <t>03419</t>
  </si>
  <si>
    <t>Mohangarh</t>
  </si>
  <si>
    <t>435.73819580314864</t>
  </si>
  <si>
    <t>03420</t>
  </si>
  <si>
    <t>Palera</t>
  </si>
  <si>
    <t>825.78424097217123</t>
  </si>
  <si>
    <t>03421</t>
  </si>
  <si>
    <t>Baldeogarh</t>
  </si>
  <si>
    <t>448.16462600070241</t>
  </si>
  <si>
    <t>03422</t>
  </si>
  <si>
    <t>Khargapur</t>
  </si>
  <si>
    <t>456.94235605635703</t>
  </si>
  <si>
    <t>03423</t>
  </si>
  <si>
    <t>Tikamgarh</t>
  </si>
  <si>
    <t>910.51748312461848</t>
  </si>
  <si>
    <t>03424</t>
  </si>
  <si>
    <t>Gaurihar</t>
  </si>
  <si>
    <t>921.99687941335389</t>
  </si>
  <si>
    <t>03425</t>
  </si>
  <si>
    <t>Laundi</t>
  </si>
  <si>
    <t>470.3428268025325</t>
  </si>
  <si>
    <t>03426</t>
  </si>
  <si>
    <t>Chandla</t>
  </si>
  <si>
    <t>386.48801491393044</t>
  </si>
  <si>
    <t>03427</t>
  </si>
  <si>
    <t>Nowgong</t>
  </si>
  <si>
    <t>574.85420024899224</t>
  </si>
  <si>
    <t>03428</t>
  </si>
  <si>
    <t>Maharajpur</t>
  </si>
  <si>
    <t>343.14463499187303</t>
  </si>
  <si>
    <t>03429</t>
  </si>
  <si>
    <t>1065.3850678079189</t>
  </si>
  <si>
    <t>03430</t>
  </si>
  <si>
    <t>1391.4130761863253</t>
  </si>
  <si>
    <t>03431</t>
  </si>
  <si>
    <t>Bada Malhera</t>
  </si>
  <si>
    <t>623.22637010675805</t>
  </si>
  <si>
    <t>03432</t>
  </si>
  <si>
    <t>Ghuwara</t>
  </si>
  <si>
    <t>413.23534689081379</t>
  </si>
  <si>
    <t>03433</t>
  </si>
  <si>
    <t>Bijawar</t>
  </si>
  <si>
    <t>1593.4392457773897</t>
  </si>
  <si>
    <t>03434</t>
  </si>
  <si>
    <t>Buxwaha</t>
  </si>
  <si>
    <t>903.46427882213072</t>
  </si>
  <si>
    <t>03435</t>
  </si>
  <si>
    <t>Ajaigarh</t>
  </si>
  <si>
    <t>738.19953840961352</t>
  </si>
  <si>
    <t>03436</t>
  </si>
  <si>
    <t>Panna</t>
  </si>
  <si>
    <t>1513.4017963247047</t>
  </si>
  <si>
    <t>03437</t>
  </si>
  <si>
    <t>Devendranagar</t>
  </si>
  <si>
    <t>387.5068144643285</t>
  </si>
  <si>
    <t>03438</t>
  </si>
  <si>
    <t>Gunnor</t>
  </si>
  <si>
    <t>539.24835466237812</t>
  </si>
  <si>
    <t>03439</t>
  </si>
  <si>
    <t>Amanganj</t>
  </si>
  <si>
    <t>546.07043633840919</t>
  </si>
  <si>
    <t>03440</t>
  </si>
  <si>
    <t>Pawai</t>
  </si>
  <si>
    <t>1628.3397253918461</t>
  </si>
  <si>
    <t>03441</t>
  </si>
  <si>
    <t>Shahnagar</t>
  </si>
  <si>
    <t>1051.7218726392578</t>
  </si>
  <si>
    <t>03442</t>
  </si>
  <si>
    <t>Raipura</t>
  </si>
  <si>
    <t>730.49718813022378</t>
  </si>
  <si>
    <t>03443</t>
  </si>
  <si>
    <t>Bina</t>
  </si>
  <si>
    <t>733.17219396289624</t>
  </si>
  <si>
    <t>03444</t>
  </si>
  <si>
    <t>Khurai</t>
  </si>
  <si>
    <t>857.49093577816234</t>
  </si>
  <si>
    <t>03445</t>
  </si>
  <si>
    <t>Malthon</t>
  </si>
  <si>
    <t>843.73311961636261</t>
  </si>
  <si>
    <t>03446</t>
  </si>
  <si>
    <t>1020.0304483795301</t>
  </si>
  <si>
    <t>03447</t>
  </si>
  <si>
    <t>Shahgarh</t>
  </si>
  <si>
    <t>842.51827849113192</t>
  </si>
  <si>
    <t>03448</t>
  </si>
  <si>
    <t>Rahatgarh</t>
  </si>
  <si>
    <t>628.1351612891109</t>
  </si>
  <si>
    <t>03449</t>
  </si>
  <si>
    <t>2156.5610456914319</t>
  </si>
  <si>
    <t>03450</t>
  </si>
  <si>
    <t>Garhakota</t>
  </si>
  <si>
    <t>449.97922943691538</t>
  </si>
  <si>
    <t>03451</t>
  </si>
  <si>
    <t>Rehli</t>
  </si>
  <si>
    <t>758.27891055099553</t>
  </si>
  <si>
    <t>03452</t>
  </si>
  <si>
    <t>Kesli</t>
  </si>
  <si>
    <t>830.19335186165551</t>
  </si>
  <si>
    <t>03453</t>
  </si>
  <si>
    <t>1131.9204309905138</t>
  </si>
  <si>
    <t>03454</t>
  </si>
  <si>
    <t>Hatta</t>
  </si>
  <si>
    <t>941.09838157418494</t>
  </si>
  <si>
    <t>03455</t>
  </si>
  <si>
    <t>Patera</t>
  </si>
  <si>
    <t>796.34523216099308</t>
  </si>
  <si>
    <t>03456</t>
  </si>
  <si>
    <t>Batiyagarh</t>
  </si>
  <si>
    <t>917.75848407337344</t>
  </si>
  <si>
    <t>03457</t>
  </si>
  <si>
    <t>Patharia</t>
  </si>
  <si>
    <t>704.00539693040832</t>
  </si>
  <si>
    <t>03458</t>
  </si>
  <si>
    <t>Damoh</t>
  </si>
  <si>
    <t>1227.1291896447635</t>
  </si>
  <si>
    <t>03459</t>
  </si>
  <si>
    <t>Jabera</t>
  </si>
  <si>
    <t>1182.0518664287513</t>
  </si>
  <si>
    <t>03460</t>
  </si>
  <si>
    <t>Tendukheda</t>
  </si>
  <si>
    <t>1537.6028952763793</t>
  </si>
  <si>
    <t>429</t>
  </si>
  <si>
    <t>03461</t>
  </si>
  <si>
    <t>Raghurajnagar</t>
  </si>
  <si>
    <t>729.23033038322603</t>
  </si>
  <si>
    <t>03462</t>
  </si>
  <si>
    <t>Majhgawan</t>
  </si>
  <si>
    <t>1353.0234086306077</t>
  </si>
  <si>
    <t>03463</t>
  </si>
  <si>
    <t>Birsinghpur</t>
  </si>
  <si>
    <t>289.2717856094161</t>
  </si>
  <si>
    <t>03464</t>
  </si>
  <si>
    <t>Nagod</t>
  </si>
  <si>
    <t>855.49622771271993</t>
  </si>
  <si>
    <t>03465</t>
  </si>
  <si>
    <t>Unchahara</t>
  </si>
  <si>
    <t>968.00403882831733</t>
  </si>
  <si>
    <t>03466</t>
  </si>
  <si>
    <t>Rampur Baghelan</t>
  </si>
  <si>
    <t>431.23163229953246</t>
  </si>
  <si>
    <t>03467</t>
  </si>
  <si>
    <t>Kotar</t>
  </si>
  <si>
    <t>451.8325288876847</t>
  </si>
  <si>
    <t>03468</t>
  </si>
  <si>
    <t>Amarpatan</t>
  </si>
  <si>
    <t>685.92703871074332</t>
  </si>
  <si>
    <t>03469</t>
  </si>
  <si>
    <t>603.8961318944024</t>
  </si>
  <si>
    <t>03470</t>
  </si>
  <si>
    <t>Maihar</t>
  </si>
  <si>
    <t>1134.094885491792</t>
  </si>
  <si>
    <t>03471</t>
  </si>
  <si>
    <t>Teonthar</t>
  </si>
  <si>
    <t>822.01598183708904</t>
  </si>
  <si>
    <t>03472</t>
  </si>
  <si>
    <t>Jawa</t>
  </si>
  <si>
    <t>753.17314701210319</t>
  </si>
  <si>
    <t>03473</t>
  </si>
  <si>
    <t>Sirmour</t>
  </si>
  <si>
    <t>517.92710737991877</t>
  </si>
  <si>
    <t>03474</t>
  </si>
  <si>
    <t>Mangawan</t>
  </si>
  <si>
    <t>591.45192233765522</t>
  </si>
  <si>
    <t>03475</t>
  </si>
  <si>
    <t>Semaria</t>
  </si>
  <si>
    <t>410.17899889058543</t>
  </si>
  <si>
    <t>03476</t>
  </si>
  <si>
    <t>Hanumana</t>
  </si>
  <si>
    <t>978.41914444538406</t>
  </si>
  <si>
    <t>03477</t>
  </si>
  <si>
    <t>Mauganj</t>
  </si>
  <si>
    <t>381.54488431478848</t>
  </si>
  <si>
    <t>03478</t>
  </si>
  <si>
    <t>Naigarhi</t>
  </si>
  <si>
    <t>527.96885986953725</t>
  </si>
  <si>
    <t>03479</t>
  </si>
  <si>
    <t>Huzur</t>
  </si>
  <si>
    <t>673.33965058373428</t>
  </si>
  <si>
    <t>03480</t>
  </si>
  <si>
    <t>Raipur - Karchuliyan</t>
  </si>
  <si>
    <t>315.63219741252618</t>
  </si>
  <si>
    <t>03481</t>
  </si>
  <si>
    <t>Gurh</t>
  </si>
  <si>
    <t>342.35806618811517</t>
  </si>
  <si>
    <t>431</t>
  </si>
  <si>
    <t>03482</t>
  </si>
  <si>
    <t>Bandhogarh</t>
  </si>
  <si>
    <t>03483</t>
  </si>
  <si>
    <t>Chandia</t>
  </si>
  <si>
    <t>572.7953509780466</t>
  </si>
  <si>
    <t>03484</t>
  </si>
  <si>
    <t>1787.0368304009987</t>
  </si>
  <si>
    <t>03485</t>
  </si>
  <si>
    <t>794.67800577661217</t>
  </si>
  <si>
    <t>03486</t>
  </si>
  <si>
    <t>Nowrozabad</t>
  </si>
  <si>
    <t>544.49</t>
  </si>
  <si>
    <t>03487</t>
  </si>
  <si>
    <t>Jawad</t>
  </si>
  <si>
    <t>671.82481794109901</t>
  </si>
  <si>
    <t>03488</t>
  </si>
  <si>
    <t>Singoli</t>
  </si>
  <si>
    <t>905.33060737794142</t>
  </si>
  <si>
    <t>03489</t>
  </si>
  <si>
    <t>Neemuch</t>
  </si>
  <si>
    <t>566.48525063421903</t>
  </si>
  <si>
    <t>03490</t>
  </si>
  <si>
    <t>Jiran</t>
  </si>
  <si>
    <t>282.38482798239875</t>
  </si>
  <si>
    <t>03491</t>
  </si>
  <si>
    <t>Manasa</t>
  </si>
  <si>
    <t>1829.9744960643413</t>
  </si>
  <si>
    <t>03492</t>
  </si>
  <si>
    <t>Bhanpura</t>
  </si>
  <si>
    <t>1063.5228319203186</t>
  </si>
  <si>
    <t>03493</t>
  </si>
  <si>
    <t>Malhargarh</t>
  </si>
  <si>
    <t>799.65307354445486</t>
  </si>
  <si>
    <t>03494</t>
  </si>
  <si>
    <t>Garoth</t>
  </si>
  <si>
    <t>616.81214535495667</t>
  </si>
  <si>
    <t>03495</t>
  </si>
  <si>
    <t>Shamgarh</t>
  </si>
  <si>
    <t>512.96836630838993</t>
  </si>
  <si>
    <t>03496</t>
  </si>
  <si>
    <t>Mandsaur</t>
  </si>
  <si>
    <t>934.90498300738182</t>
  </si>
  <si>
    <t>03497</t>
  </si>
  <si>
    <t>Daloda</t>
  </si>
  <si>
    <t>327.89880840287952</t>
  </si>
  <si>
    <t>03498</t>
  </si>
  <si>
    <t>Sitamau</t>
  </si>
  <si>
    <t>841.37509497212818</t>
  </si>
  <si>
    <t>03499</t>
  </si>
  <si>
    <t>Suwasara</t>
  </si>
  <si>
    <t>437.868727738578</t>
  </si>
  <si>
    <t>434</t>
  </si>
  <si>
    <t>03500</t>
  </si>
  <si>
    <t>Piploda</t>
  </si>
  <si>
    <t>612.27589605736307</t>
  </si>
  <si>
    <t>03501</t>
  </si>
  <si>
    <t>Jaora</t>
  </si>
  <si>
    <t>760.26241547502195</t>
  </si>
  <si>
    <t>03502</t>
  </si>
  <si>
    <t>Alot</t>
  </si>
  <si>
    <t>528.92884011382182</t>
  </si>
  <si>
    <t>03503</t>
  </si>
  <si>
    <t>Tal</t>
  </si>
  <si>
    <t>420.82204116322242</t>
  </si>
  <si>
    <t>03504</t>
  </si>
  <si>
    <t>Sailana</t>
  </si>
  <si>
    <t>536.5720199165047</t>
  </si>
  <si>
    <t>03505</t>
  </si>
  <si>
    <t>Bajna</t>
  </si>
  <si>
    <t>328.50074825408211</t>
  </si>
  <si>
    <t>03506</t>
  </si>
  <si>
    <t>Rawti</t>
  </si>
  <si>
    <t>352.19980508444149</t>
  </si>
  <si>
    <t>03507</t>
  </si>
  <si>
    <t>Ratlam</t>
  </si>
  <si>
    <t>1321.4485940213908</t>
  </si>
  <si>
    <t>03508</t>
  </si>
  <si>
    <t>Khacharod</t>
  </si>
  <si>
    <t>638.14905458787098</t>
  </si>
  <si>
    <t>03509</t>
  </si>
  <si>
    <t>Nagda</t>
  </si>
  <si>
    <t>651.7739782594623</t>
  </si>
  <si>
    <t>03510</t>
  </si>
  <si>
    <t>Mahidpur</t>
  </si>
  <si>
    <t>1136.5803324397743</t>
  </si>
  <si>
    <t>03511</t>
  </si>
  <si>
    <t>Ghatiya</t>
  </si>
  <si>
    <t>642.00183407122495</t>
  </si>
  <si>
    <t>03512</t>
  </si>
  <si>
    <t>Tarana</t>
  </si>
  <si>
    <t>1045.8790494003852</t>
  </si>
  <si>
    <t>03513</t>
  </si>
  <si>
    <t>Ujjain</t>
  </si>
  <si>
    <t>744.68723442541329</t>
  </si>
  <si>
    <t>03514</t>
  </si>
  <si>
    <t>Badnagar</t>
  </si>
  <si>
    <t>1231.9340284401947</t>
  </si>
  <si>
    <t>436</t>
  </si>
  <si>
    <t>03515</t>
  </si>
  <si>
    <t>Susner</t>
  </si>
  <si>
    <t>675.25679782531938</t>
  </si>
  <si>
    <t>03516</t>
  </si>
  <si>
    <t>Nalkheda</t>
  </si>
  <si>
    <t>602.50787875628419</t>
  </si>
  <si>
    <t>03517</t>
  </si>
  <si>
    <t>Badod</t>
  </si>
  <si>
    <t>726.60530588176528</t>
  </si>
  <si>
    <t>03518</t>
  </si>
  <si>
    <t>Agar</t>
  </si>
  <si>
    <t>728.96579825293043</t>
  </si>
  <si>
    <t>03519</t>
  </si>
  <si>
    <t>Shajapur</t>
  </si>
  <si>
    <t>742.04729342000394</t>
  </si>
  <si>
    <t>03520</t>
  </si>
  <si>
    <t>Gulana</t>
  </si>
  <si>
    <t>578.06066481527489</t>
  </si>
  <si>
    <t>03521</t>
  </si>
  <si>
    <t>Moman Badodiya</t>
  </si>
  <si>
    <t>487.99800214276013</t>
  </si>
  <si>
    <t>03522</t>
  </si>
  <si>
    <t>Shujalpur</t>
  </si>
  <si>
    <t>836.45658962180062</t>
  </si>
  <si>
    <t>03523</t>
  </si>
  <si>
    <t>Kalapipal</t>
  </si>
  <si>
    <t>817.0943129913627</t>
  </si>
  <si>
    <t>03524</t>
  </si>
  <si>
    <t>Tonk Khurd</t>
  </si>
  <si>
    <t>639.33900934312919</t>
  </si>
  <si>
    <t>03525</t>
  </si>
  <si>
    <t>Sonkatch</t>
  </si>
  <si>
    <t>645.83335317887895</t>
  </si>
  <si>
    <t>03526</t>
  </si>
  <si>
    <t>Dewas</t>
  </si>
  <si>
    <t>1001.0135969010501</t>
  </si>
  <si>
    <t>03527</t>
  </si>
  <si>
    <t>Kannod</t>
  </si>
  <si>
    <t>700.43163484930153</t>
  </si>
  <si>
    <t>03528</t>
  </si>
  <si>
    <t>Satwas</t>
  </si>
  <si>
    <t>978.95988762548302</t>
  </si>
  <si>
    <t>03529</t>
  </si>
  <si>
    <t>Bagli</t>
  </si>
  <si>
    <t>1578.4585953608391</t>
  </si>
  <si>
    <t>03530</t>
  </si>
  <si>
    <t>Hatpiplya</t>
  </si>
  <si>
    <t>362.26782088907112</t>
  </si>
  <si>
    <t>03531</t>
  </si>
  <si>
    <t>Khategaon</t>
  </si>
  <si>
    <t>1113.6967070126902</t>
  </si>
  <si>
    <t>03532</t>
  </si>
  <si>
    <t>Badnawar</t>
  </si>
  <si>
    <t>1048.5675133345846</t>
  </si>
  <si>
    <t>03533</t>
  </si>
  <si>
    <t>Sardarpur</t>
  </si>
  <si>
    <t>1287.9738416758325</t>
  </si>
  <si>
    <t>03534</t>
  </si>
  <si>
    <t>Dhar</t>
  </si>
  <si>
    <t>1896.0004671979218</t>
  </si>
  <si>
    <t>03535</t>
  </si>
  <si>
    <t>Gandhwani</t>
  </si>
  <si>
    <t>733.90583925656119</t>
  </si>
  <si>
    <t>03536</t>
  </si>
  <si>
    <t>Kukshi</t>
  </si>
  <si>
    <t>1251.2292036483648</t>
  </si>
  <si>
    <t>03537</t>
  </si>
  <si>
    <t>Dahi</t>
  </si>
  <si>
    <t>448.61286512302468</t>
  </si>
  <si>
    <t>03538</t>
  </si>
  <si>
    <t>Manawar</t>
  </si>
  <si>
    <t>1060.8988351719056</t>
  </si>
  <si>
    <t>03539</t>
  </si>
  <si>
    <t>Dharampuri</t>
  </si>
  <si>
    <t>425.83056622728344</t>
  </si>
  <si>
    <t>03540</t>
  </si>
  <si>
    <t>Depalpur</t>
  </si>
  <si>
    <t>796.60073973017734</t>
  </si>
  <si>
    <t>03541</t>
  </si>
  <si>
    <t>Hatod</t>
  </si>
  <si>
    <t>455.85780742238734</t>
  </si>
  <si>
    <t>03542</t>
  </si>
  <si>
    <t>Sawer</t>
  </si>
  <si>
    <t>658.23902344496287</t>
  </si>
  <si>
    <t>03543</t>
  </si>
  <si>
    <t>Indore</t>
  </si>
  <si>
    <t>890.96653948874484</t>
  </si>
  <si>
    <t>03544</t>
  </si>
  <si>
    <t>Mhow</t>
  </si>
  <si>
    <t>1096.3326374806193</t>
  </si>
  <si>
    <t>03545</t>
  </si>
  <si>
    <t>Barwaha</t>
  </si>
  <si>
    <t>1488.534959438547</t>
  </si>
  <si>
    <t>03546</t>
  </si>
  <si>
    <t>Maheshwar</t>
  </si>
  <si>
    <t>828.60712388396519</t>
  </si>
  <si>
    <t>03547</t>
  </si>
  <si>
    <t>Kasrawad</t>
  </si>
  <si>
    <t>1009.5813966923173</t>
  </si>
  <si>
    <t>03548</t>
  </si>
  <si>
    <t>Segaon</t>
  </si>
  <si>
    <t>361.26260396360874</t>
  </si>
  <si>
    <t>03549</t>
  </si>
  <si>
    <t>Bhikangaon</t>
  </si>
  <si>
    <t>943.88689382540224</t>
  </si>
  <si>
    <t>03550</t>
  </si>
  <si>
    <t>Khargone</t>
  </si>
  <si>
    <t>461.50362281369519</t>
  </si>
  <si>
    <t>03551</t>
  </si>
  <si>
    <t>Gogaon</t>
  </si>
  <si>
    <t>537.83022130358995</t>
  </si>
  <si>
    <t>03552</t>
  </si>
  <si>
    <t>Bhagwanpura</t>
  </si>
  <si>
    <t>1247.5303989289921</t>
  </si>
  <si>
    <t>03553</t>
  </si>
  <si>
    <t>Jhiranya</t>
  </si>
  <si>
    <t>1146.2708606546125</t>
  </si>
  <si>
    <t>03554</t>
  </si>
  <si>
    <t>Barwani</t>
  </si>
  <si>
    <t>783.74385685354878</t>
  </si>
  <si>
    <t>03555</t>
  </si>
  <si>
    <t>843.51037318472572</t>
  </si>
  <si>
    <t>03556</t>
  </si>
  <si>
    <t>Thikri</t>
  </si>
  <si>
    <t>316.26318456018367</t>
  </si>
  <si>
    <t>03557</t>
  </si>
  <si>
    <t>Anjad</t>
  </si>
  <si>
    <t>258.02275436773914</t>
  </si>
  <si>
    <t>03558</t>
  </si>
  <si>
    <t>731.50395583244699</t>
  </si>
  <si>
    <t>03559</t>
  </si>
  <si>
    <t>Pansemal</t>
  </si>
  <si>
    <t>676.42989483941346</t>
  </si>
  <si>
    <t>03560</t>
  </si>
  <si>
    <t>Niwali</t>
  </si>
  <si>
    <t>344.80203350831738</t>
  </si>
  <si>
    <t>03561</t>
  </si>
  <si>
    <t>Sendhwa</t>
  </si>
  <si>
    <t>633.90711372207772</t>
  </si>
  <si>
    <t>03562</t>
  </si>
  <si>
    <t>Varla</t>
  </si>
  <si>
    <t>838.8179178465823</t>
  </si>
  <si>
    <t>03563</t>
  </si>
  <si>
    <t>Jirapur</t>
  </si>
  <si>
    <t>850.43624910840879</t>
  </si>
  <si>
    <t>03564</t>
  </si>
  <si>
    <t>Khilchipur</t>
  </si>
  <si>
    <t>789.50182316853443</t>
  </si>
  <si>
    <t>03565</t>
  </si>
  <si>
    <t>1121.502622700297</t>
  </si>
  <si>
    <t>03566</t>
  </si>
  <si>
    <t>Biaora</t>
  </si>
  <si>
    <t>1148.6652869452466</t>
  </si>
  <si>
    <t>03567</t>
  </si>
  <si>
    <t>Sarangpur</t>
  </si>
  <si>
    <t>898.04872665618393</t>
  </si>
  <si>
    <t>03568</t>
  </si>
  <si>
    <t>Narsinghgarh</t>
  </si>
  <si>
    <t>754.18413444057046</t>
  </si>
  <si>
    <t>03569</t>
  </si>
  <si>
    <t>Pachore</t>
  </si>
  <si>
    <t>590.66863081168901</t>
  </si>
  <si>
    <t>03570</t>
  </si>
  <si>
    <t>Lateri</t>
  </si>
  <si>
    <t>991.98085068311707</t>
  </si>
  <si>
    <t>03571</t>
  </si>
  <si>
    <t>Sironj</t>
  </si>
  <si>
    <t>1279.4374238416426</t>
  </si>
  <si>
    <t>03572</t>
  </si>
  <si>
    <t>Kurwai</t>
  </si>
  <si>
    <t>839.07037565270446</t>
  </si>
  <si>
    <t>03573</t>
  </si>
  <si>
    <t>Basoda</t>
  </si>
  <si>
    <t>414.77871970928999</t>
  </si>
  <si>
    <t>03574</t>
  </si>
  <si>
    <t>Tyonda</t>
  </si>
  <si>
    <t>835.6473985971586</t>
  </si>
  <si>
    <t>03575</t>
  </si>
  <si>
    <t>Nateran</t>
  </si>
  <si>
    <t>501.5291382151795</t>
  </si>
  <si>
    <t>03576</t>
  </si>
  <si>
    <t>Shamshabad</t>
  </si>
  <si>
    <t>572.05716546089013</t>
  </si>
  <si>
    <t>03577</t>
  </si>
  <si>
    <t>Gyaraspur</t>
  </si>
  <si>
    <t>395.68984766333176</t>
  </si>
  <si>
    <t>03578</t>
  </si>
  <si>
    <t>Gulabganj</t>
  </si>
  <si>
    <t>469.88235034580759</t>
  </si>
  <si>
    <t>03579</t>
  </si>
  <si>
    <t>Vidisha</t>
  </si>
  <si>
    <t>1070.9193215530368</t>
  </si>
  <si>
    <t>03580</t>
  </si>
  <si>
    <t>Berasia</t>
  </si>
  <si>
    <t>1410.2307420682203</t>
  </si>
  <si>
    <t>03581</t>
  </si>
  <si>
    <t>1361.7677009576164</t>
  </si>
  <si>
    <t>03582</t>
  </si>
  <si>
    <t>Sehore</t>
  </si>
  <si>
    <t>911.12151491351574</t>
  </si>
  <si>
    <t>03583</t>
  </si>
  <si>
    <t>Shyampur</t>
  </si>
  <si>
    <t>680.6754549529328</t>
  </si>
  <si>
    <t>03584</t>
  </si>
  <si>
    <t>Ashta</t>
  </si>
  <si>
    <t>713.20509623967348</t>
  </si>
  <si>
    <t>03585</t>
  </si>
  <si>
    <t>Jawar</t>
  </si>
  <si>
    <t>737.93553735875469</t>
  </si>
  <si>
    <t>03586</t>
  </si>
  <si>
    <t>Ichhawar</t>
  </si>
  <si>
    <t>1148.9815008011667</t>
  </si>
  <si>
    <t>03587</t>
  </si>
  <si>
    <t>Nasrullaganj</t>
  </si>
  <si>
    <t>1307.1730214247793</t>
  </si>
  <si>
    <t>03588</t>
  </si>
  <si>
    <t>Budni</t>
  </si>
  <si>
    <t>615.38709039855848</t>
  </si>
  <si>
    <t>03589</t>
  </si>
  <si>
    <t>Rehti</t>
  </si>
  <si>
    <t>463.5369755187437</t>
  </si>
  <si>
    <t>03590</t>
  </si>
  <si>
    <t>Raisen</t>
  </si>
  <si>
    <t>1359.3882117954547</t>
  </si>
  <si>
    <t>03591</t>
  </si>
  <si>
    <t>Gairatganj</t>
  </si>
  <si>
    <t>918.75900097275803</t>
  </si>
  <si>
    <t>03592</t>
  </si>
  <si>
    <t>Begamganj</t>
  </si>
  <si>
    <t>907.46001722637948</t>
  </si>
  <si>
    <t>03593</t>
  </si>
  <si>
    <t>Goharganj</t>
  </si>
  <si>
    <t>1757.1892893736062</t>
  </si>
  <si>
    <t>03594</t>
  </si>
  <si>
    <t>Baraily</t>
  </si>
  <si>
    <t>644.73787493236887</t>
  </si>
  <si>
    <t>03595</t>
  </si>
  <si>
    <t>Badi</t>
  </si>
  <si>
    <t>782.30923310174023</t>
  </si>
  <si>
    <t>03596</t>
  </si>
  <si>
    <t>Silwani</t>
  </si>
  <si>
    <t>1285.8098112043779</t>
  </si>
  <si>
    <t>03597</t>
  </si>
  <si>
    <t>Udaipura</t>
  </si>
  <si>
    <t>810.34899056058396</t>
  </si>
  <si>
    <t>03598</t>
  </si>
  <si>
    <t>Bhainsdehi</t>
  </si>
  <si>
    <t>2461.919644952357</t>
  </si>
  <si>
    <t>03599</t>
  </si>
  <si>
    <t>Athner</t>
  </si>
  <si>
    <t>940.95250443731254</t>
  </si>
  <si>
    <t>03600</t>
  </si>
  <si>
    <t>Betul</t>
  </si>
  <si>
    <t>1346.7159084725947</t>
  </si>
  <si>
    <t>03601</t>
  </si>
  <si>
    <t>Chicholi</t>
  </si>
  <si>
    <t>668.81524608591394</t>
  </si>
  <si>
    <t>03602</t>
  </si>
  <si>
    <t>Ghoda Dongri</t>
  </si>
  <si>
    <t>1140.9872352511172</t>
  </si>
  <si>
    <t>03603</t>
  </si>
  <si>
    <t>956.54083856979287</t>
  </si>
  <si>
    <t>03604</t>
  </si>
  <si>
    <t>Multai</t>
  </si>
  <si>
    <t>1810.289940887415</t>
  </si>
  <si>
    <t>03605</t>
  </si>
  <si>
    <t>Amla</t>
  </si>
  <si>
    <t>716.7522257002347</t>
  </si>
  <si>
    <t>03606</t>
  </si>
  <si>
    <t>Khirkiya</t>
  </si>
  <si>
    <t>450.86331033824888</t>
  </si>
  <si>
    <t>03607</t>
  </si>
  <si>
    <t>Sirali</t>
  </si>
  <si>
    <t>435.41119237101685</t>
  </si>
  <si>
    <t>03608</t>
  </si>
  <si>
    <t>Harda</t>
  </si>
  <si>
    <t>500.61539177709886</t>
  </si>
  <si>
    <t>03609</t>
  </si>
  <si>
    <t>Handiya</t>
  </si>
  <si>
    <t>501.74730095615013</t>
  </si>
  <si>
    <t>03610</t>
  </si>
  <si>
    <t>Timarni</t>
  </si>
  <si>
    <t>415.9714310574023</t>
  </si>
  <si>
    <t>03611</t>
  </si>
  <si>
    <t>Rehatgaon</t>
  </si>
  <si>
    <t>1029.3831302001427</t>
  </si>
  <si>
    <t>03612</t>
  </si>
  <si>
    <t>Seoni-Malwa</t>
  </si>
  <si>
    <t>1359.0243993056588</t>
  </si>
  <si>
    <t>03613</t>
  </si>
  <si>
    <t>Itarsi</t>
  </si>
  <si>
    <t>1031.7843130947133</t>
  </si>
  <si>
    <t>03614</t>
  </si>
  <si>
    <t>Hoshangabad</t>
  </si>
  <si>
    <t>230.95744691592549</t>
  </si>
  <si>
    <t>03615</t>
  </si>
  <si>
    <t>Dolariya</t>
  </si>
  <si>
    <t>172.17074183277705</t>
  </si>
  <si>
    <t>03616</t>
  </si>
  <si>
    <t>Babai</t>
  </si>
  <si>
    <t>582.91692055059525</t>
  </si>
  <si>
    <t>03617</t>
  </si>
  <si>
    <t>Sohagpur</t>
  </si>
  <si>
    <t>1611.8353687458464</t>
  </si>
  <si>
    <t>03618</t>
  </si>
  <si>
    <t>1078.3884870234208</t>
  </si>
  <si>
    <t>03619</t>
  </si>
  <si>
    <t>Bankhedi</t>
  </si>
  <si>
    <t>635.91978920028384</t>
  </si>
  <si>
    <t>03620</t>
  </si>
  <si>
    <t>Murwara</t>
  </si>
  <si>
    <t>604.03675176695049</t>
  </si>
  <si>
    <t>03621</t>
  </si>
  <si>
    <t>Rithi</t>
  </si>
  <si>
    <t>685.08873081247805</t>
  </si>
  <si>
    <t>03622</t>
  </si>
  <si>
    <t>508.20189892832678</t>
  </si>
  <si>
    <t>03623</t>
  </si>
  <si>
    <t>Badwara</t>
  </si>
  <si>
    <t>487.27641617587375</t>
  </si>
  <si>
    <t>03624</t>
  </si>
  <si>
    <t>Vijayraghavgarh</t>
  </si>
  <si>
    <t>722.79724267206575</t>
  </si>
  <si>
    <t>03625</t>
  </si>
  <si>
    <t>Bahoriband</t>
  </si>
  <si>
    <t>940.14406910669027</t>
  </si>
  <si>
    <t>03626</t>
  </si>
  <si>
    <t>Dhimarkheda</t>
  </si>
  <si>
    <t>1002.4534760216849</t>
  </si>
  <si>
    <t>03627</t>
  </si>
  <si>
    <t>Sihora</t>
  </si>
  <si>
    <t>475.0005762828622</t>
  </si>
  <si>
    <t>03628</t>
  </si>
  <si>
    <t>Majholi</t>
  </si>
  <si>
    <t>642.93866475265088</t>
  </si>
  <si>
    <t>03629</t>
  </si>
  <si>
    <t>607.03319309943925</t>
  </si>
  <si>
    <t>03630</t>
  </si>
  <si>
    <t>877.92440031901992</t>
  </si>
  <si>
    <t>03631</t>
  </si>
  <si>
    <t>Jabalpur</t>
  </si>
  <si>
    <t>1147.008106744687</t>
  </si>
  <si>
    <t>03632</t>
  </si>
  <si>
    <t>Panagar</t>
  </si>
  <si>
    <t>477.49918032150737</t>
  </si>
  <si>
    <t>03633</t>
  </si>
  <si>
    <t>Kundam</t>
  </si>
  <si>
    <t>983.59940261729344</t>
  </si>
  <si>
    <t>03634</t>
  </si>
  <si>
    <t>Gotegaon</t>
  </si>
  <si>
    <t>919.46337491217048</t>
  </si>
  <si>
    <t>03635</t>
  </si>
  <si>
    <t>Gadarwara</t>
  </si>
  <si>
    <t>1907.5778535662573</t>
  </si>
  <si>
    <t>03636</t>
  </si>
  <si>
    <t>Narsimhapur</t>
  </si>
  <si>
    <t>1200.9890183224818</t>
  </si>
  <si>
    <t>03637</t>
  </si>
  <si>
    <t>Kareli</t>
  </si>
  <si>
    <t>648.01819935376034</t>
  </si>
  <si>
    <t>03638</t>
  </si>
  <si>
    <t>456.95696073808773</t>
  </si>
  <si>
    <t>03639</t>
  </si>
  <si>
    <t>2184.5489066050995</t>
  </si>
  <si>
    <t>03640</t>
  </si>
  <si>
    <t>Dindori</t>
  </si>
  <si>
    <t>5285.4473168501363</t>
  </si>
  <si>
    <t>03641</t>
  </si>
  <si>
    <t>Niwas</t>
  </si>
  <si>
    <t>873.6709697478741</t>
  </si>
  <si>
    <t>03642</t>
  </si>
  <si>
    <t>Narayanganj</t>
  </si>
  <si>
    <t>659.85523489535433</t>
  </si>
  <si>
    <t>03643</t>
  </si>
  <si>
    <t>Mandla</t>
  </si>
  <si>
    <t>654.21963206189071</t>
  </si>
  <si>
    <t>03644</t>
  </si>
  <si>
    <t>Ghughari</t>
  </si>
  <si>
    <t>930.02699808250986</t>
  </si>
  <si>
    <t>03645</t>
  </si>
  <si>
    <t>Bichhiya</t>
  </si>
  <si>
    <t>1978.5541862287746</t>
  </si>
  <si>
    <t>03646</t>
  </si>
  <si>
    <t>Nainpur</t>
  </si>
  <si>
    <t>703.67164552932036</t>
  </si>
  <si>
    <t>03647</t>
  </si>
  <si>
    <t>Tamia</t>
  </si>
  <si>
    <t>1433.8568307686326</t>
  </si>
  <si>
    <t>03648</t>
  </si>
  <si>
    <t>Amarwara</t>
  </si>
  <si>
    <t>994.52349679002577</t>
  </si>
  <si>
    <t>03649</t>
  </si>
  <si>
    <t>Harrai</t>
  </si>
  <si>
    <t>1630.7957770986432</t>
  </si>
  <si>
    <t>03650</t>
  </si>
  <si>
    <t>Chaurai</t>
  </si>
  <si>
    <t>1020.6331022834215</t>
  </si>
  <si>
    <t>03651</t>
  </si>
  <si>
    <t>Jamai</t>
  </si>
  <si>
    <t>1467.6445096641849</t>
  </si>
  <si>
    <t>03652</t>
  </si>
  <si>
    <t>Parasia</t>
  </si>
  <si>
    <t>381.26465705756084</t>
  </si>
  <si>
    <t>03653</t>
  </si>
  <si>
    <t>Umreth</t>
  </si>
  <si>
    <t>456.19600398090751</t>
  </si>
  <si>
    <t>03654</t>
  </si>
  <si>
    <t>Chhindwara</t>
  </si>
  <si>
    <t>626.83832814466871</t>
  </si>
  <si>
    <t>03655</t>
  </si>
  <si>
    <t>Mohkhed</t>
  </si>
  <si>
    <t>992.63255043117249</t>
  </si>
  <si>
    <t>03656</t>
  </si>
  <si>
    <t>Sausar</t>
  </si>
  <si>
    <t>840.48409724960186</t>
  </si>
  <si>
    <t>03657</t>
  </si>
  <si>
    <t>Bichhua</t>
  </si>
  <si>
    <t>783.02841942290911</t>
  </si>
  <si>
    <t>03658</t>
  </si>
  <si>
    <t>Pandhurna</t>
  </si>
  <si>
    <t>1187.098720753452</t>
  </si>
  <si>
    <t>03659</t>
  </si>
  <si>
    <t>Lakhnadon</t>
  </si>
  <si>
    <t>1481.0598905575807</t>
  </si>
  <si>
    <t>03660</t>
  </si>
  <si>
    <t>Chhapara</t>
  </si>
  <si>
    <t>901.38870051547474</t>
  </si>
  <si>
    <t>03661</t>
  </si>
  <si>
    <t>Ghansaur</t>
  </si>
  <si>
    <t>1096.4719492215806</t>
  </si>
  <si>
    <t>03662</t>
  </si>
  <si>
    <t>Dhanora</t>
  </si>
  <si>
    <t>548.10092576723207</t>
  </si>
  <si>
    <t>03663</t>
  </si>
  <si>
    <t>Keolari</t>
  </si>
  <si>
    <t>1100.6272982541404</t>
  </si>
  <si>
    <t>03664</t>
  </si>
  <si>
    <t>1410.5020639847135</t>
  </si>
  <si>
    <t>03665</t>
  </si>
  <si>
    <t>Barghat</t>
  </si>
  <si>
    <t>788.93456732182256</t>
  </si>
  <si>
    <t>03666</t>
  </si>
  <si>
    <t>Kurai</t>
  </si>
  <si>
    <t>1430.9152161071643</t>
  </si>
  <si>
    <t>03667</t>
  </si>
  <si>
    <t>Katangi</t>
  </si>
  <si>
    <t>287.34228813142516</t>
  </si>
  <si>
    <t>03668</t>
  </si>
  <si>
    <t>Tirodi</t>
  </si>
  <si>
    <t>420.71158227261066</t>
  </si>
  <si>
    <t>03669</t>
  </si>
  <si>
    <t>Waraseoni</t>
  </si>
  <si>
    <t>590.05180483672973</t>
  </si>
  <si>
    <t>03670</t>
  </si>
  <si>
    <t>Khairlanji</t>
  </si>
  <si>
    <t>464.74978723432844</t>
  </si>
  <si>
    <t>03671</t>
  </si>
  <si>
    <t>Lalbarra</t>
  </si>
  <si>
    <t>624.6643615031328</t>
  </si>
  <si>
    <t>03672</t>
  </si>
  <si>
    <t>Balaghat</t>
  </si>
  <si>
    <t>1051.047923553012</t>
  </si>
  <si>
    <t>03673</t>
  </si>
  <si>
    <t>Kirnapur</t>
  </si>
  <si>
    <t>881.13739223615119</t>
  </si>
  <si>
    <t>03674</t>
  </si>
  <si>
    <t>Baihar</t>
  </si>
  <si>
    <t>1346.5819192238198</t>
  </si>
  <si>
    <t>03675</t>
  </si>
  <si>
    <t>Paraswada</t>
  </si>
  <si>
    <t>2682.4316646460434</t>
  </si>
  <si>
    <t>03676</t>
  </si>
  <si>
    <t>Lanji</t>
  </si>
  <si>
    <t>880.26637523196359</t>
  </si>
  <si>
    <t>03677</t>
  </si>
  <si>
    <t>Guna</t>
  </si>
  <si>
    <t>1636.1060968490756</t>
  </si>
  <si>
    <t>03678</t>
  </si>
  <si>
    <t>Bamori</t>
  </si>
  <si>
    <t>1549.8428876286314</t>
  </si>
  <si>
    <t>03679</t>
  </si>
  <si>
    <t>Raghogarh</t>
  </si>
  <si>
    <t>629.27157571118289</t>
  </si>
  <si>
    <t>03680</t>
  </si>
  <si>
    <t>Maksoodangarh</t>
  </si>
  <si>
    <t>617.41090510494359</t>
  </si>
  <si>
    <t>03681</t>
  </si>
  <si>
    <t>Kumbhraj</t>
  </si>
  <si>
    <t>614.59933261707306</t>
  </si>
  <si>
    <t>03682</t>
  </si>
  <si>
    <t>Aron</t>
  </si>
  <si>
    <t>734.37232060036001</t>
  </si>
  <si>
    <t>03683</t>
  </si>
  <si>
    <t>Chachaura</t>
  </si>
  <si>
    <t>608.39304668088471</t>
  </si>
  <si>
    <t>459</t>
  </si>
  <si>
    <t>03684</t>
  </si>
  <si>
    <t>Isagarh</t>
  </si>
  <si>
    <t>1144.1730936605413</t>
  </si>
  <si>
    <t>03685</t>
  </si>
  <si>
    <t>Chanderi</t>
  </si>
  <si>
    <t>1014.9992130626729</t>
  </si>
  <si>
    <t>03686</t>
  </si>
  <si>
    <t>Ashoknagar</t>
  </si>
  <si>
    <t>857.15993849453207</t>
  </si>
  <si>
    <t>03687</t>
  </si>
  <si>
    <t>Shadhora</t>
  </si>
  <si>
    <t>393.44356528835914</t>
  </si>
  <si>
    <t>03688</t>
  </si>
  <si>
    <t>Mungaoli</t>
  </si>
  <si>
    <t>1264.2331647898807</t>
  </si>
  <si>
    <t>03689</t>
  </si>
  <si>
    <t>Beohari</t>
  </si>
  <si>
    <t>1220.9830461158147</t>
  </si>
  <si>
    <t>03690</t>
  </si>
  <si>
    <t>Jaisinghnagar</t>
  </si>
  <si>
    <t>1672.6291688370598</t>
  </si>
  <si>
    <t>03691</t>
  </si>
  <si>
    <t>1976.0824583961212</t>
  </si>
  <si>
    <t>03692</t>
  </si>
  <si>
    <t>Jaitpur</t>
  </si>
  <si>
    <t>1335.3149190860565</t>
  </si>
  <si>
    <t>461</t>
  </si>
  <si>
    <t>03693</t>
  </si>
  <si>
    <t>Kotma</t>
  </si>
  <si>
    <t>848.42</t>
  </si>
  <si>
    <t>03694</t>
  </si>
  <si>
    <t>Anuppur</t>
  </si>
  <si>
    <t>03695</t>
  </si>
  <si>
    <t>Jaithari</t>
  </si>
  <si>
    <t>516.80549200080009</t>
  </si>
  <si>
    <t>03696</t>
  </si>
  <si>
    <t>Pushparajgarh</t>
  </si>
  <si>
    <t>1746.7738176541318</t>
  </si>
  <si>
    <t>03697</t>
  </si>
  <si>
    <t>Rampur Naikin</t>
  </si>
  <si>
    <t>642.61378091155711</t>
  </si>
  <si>
    <t>03698</t>
  </si>
  <si>
    <t>Churhat</t>
  </si>
  <si>
    <t>336.42609601436652</t>
  </si>
  <si>
    <t>03699</t>
  </si>
  <si>
    <t>Gopadbanas</t>
  </si>
  <si>
    <t>879.70320979675216</t>
  </si>
  <si>
    <t>03700</t>
  </si>
  <si>
    <t>Sihawal</t>
  </si>
  <si>
    <t>773.60463382237037</t>
  </si>
  <si>
    <t>03701</t>
  </si>
  <si>
    <t>Majhauli</t>
  </si>
  <si>
    <t>709.218583036881</t>
  </si>
  <si>
    <t>03702</t>
  </si>
  <si>
    <t>Kusmi</t>
  </si>
  <si>
    <t>1509.4482329372679</t>
  </si>
  <si>
    <t>03703</t>
  </si>
  <si>
    <t>Chitrangi</t>
  </si>
  <si>
    <t>1943.959120392401</t>
  </si>
  <si>
    <t>03704</t>
  </si>
  <si>
    <t>Deosar</t>
  </si>
  <si>
    <t>1822.5650719830883</t>
  </si>
  <si>
    <t>03705</t>
  </si>
  <si>
    <t>Singrauli</t>
  </si>
  <si>
    <t>1908.4780259995318</t>
  </si>
  <si>
    <t>03706</t>
  </si>
  <si>
    <t>Thandla</t>
  </si>
  <si>
    <t>570.38918124804002</t>
  </si>
  <si>
    <t>03707</t>
  </si>
  <si>
    <t>Petlawad</t>
  </si>
  <si>
    <t>998.44193577828378</t>
  </si>
  <si>
    <t>03708</t>
  </si>
  <si>
    <t>Meghnagar</t>
  </si>
  <si>
    <t>528.28064233206123</t>
  </si>
  <si>
    <t>03709</t>
  </si>
  <si>
    <t>Jhabua</t>
  </si>
  <si>
    <t>1086.8763892166946</t>
  </si>
  <si>
    <t>03710</t>
  </si>
  <si>
    <t>Ranapur</t>
  </si>
  <si>
    <t>416.00932109738238</t>
  </si>
  <si>
    <t>03711</t>
  </si>
  <si>
    <t>Bhavra</t>
  </si>
  <si>
    <t>333.26281571571246</t>
  </si>
  <si>
    <t>03712</t>
  </si>
  <si>
    <t>Jobat</t>
  </si>
  <si>
    <t>710.72870404955688</t>
  </si>
  <si>
    <t>03713</t>
  </si>
  <si>
    <t>Alirajpur</t>
  </si>
  <si>
    <t>2138.0150887576551</t>
  </si>
  <si>
    <t>03714</t>
  </si>
  <si>
    <t>Harsud</t>
  </si>
  <si>
    <t>1748.1468796299248</t>
  </si>
  <si>
    <t>03715</t>
  </si>
  <si>
    <t>Khalwa</t>
  </si>
  <si>
    <t>1892.8928856085845</t>
  </si>
  <si>
    <t>03716</t>
  </si>
  <si>
    <t>Khandwa</t>
  </si>
  <si>
    <t>1670.9374336350982</t>
  </si>
  <si>
    <t>03717</t>
  </si>
  <si>
    <t>Punasa</t>
  </si>
  <si>
    <t>1358.1263099955204</t>
  </si>
  <si>
    <t>03718</t>
  </si>
  <si>
    <t>Pandhana</t>
  </si>
  <si>
    <t>681.89249969157777</t>
  </si>
  <si>
    <t>03719</t>
  </si>
  <si>
    <t>1053.5447446368257</t>
  </si>
  <si>
    <t>03720</t>
  </si>
  <si>
    <t>Khaknar</t>
  </si>
  <si>
    <t>992.72415308864686</t>
  </si>
  <si>
    <t>03721</t>
  </si>
  <si>
    <t>Nepanagar</t>
  </si>
  <si>
    <t>1380.7209982845045</t>
  </si>
  <si>
    <t>03722</t>
  </si>
  <si>
    <t>Lakhpat</t>
  </si>
  <si>
    <t>2190.4876882840335</t>
  </si>
  <si>
    <t>03723</t>
  </si>
  <si>
    <t>Rapar</t>
  </si>
  <si>
    <t>3217.8131976825262</t>
  </si>
  <si>
    <t>03724</t>
  </si>
  <si>
    <t>Bhachau</t>
  </si>
  <si>
    <t>1990.3671063419699</t>
  </si>
  <si>
    <t>03725</t>
  </si>
  <si>
    <t>Anjar</t>
  </si>
  <si>
    <t>1303.6438718292566</t>
  </si>
  <si>
    <t>03726</t>
  </si>
  <si>
    <t>Bhuj</t>
  </si>
  <si>
    <t>5936.1102924048428</t>
  </si>
  <si>
    <t>03727</t>
  </si>
  <si>
    <t>Nakhatrana</t>
  </si>
  <si>
    <t>2135.1442532410038</t>
  </si>
  <si>
    <t>03728</t>
  </si>
  <si>
    <t>Abdasa</t>
  </si>
  <si>
    <t>2534.8401011540332</t>
  </si>
  <si>
    <t>03729</t>
  </si>
  <si>
    <t>Mandvi</t>
  </si>
  <si>
    <t>1573.2613929433669</t>
  </si>
  <si>
    <t>03730</t>
  </si>
  <si>
    <t>Mundra</t>
  </si>
  <si>
    <t>1098.1086252502087</t>
  </si>
  <si>
    <t>03731</t>
  </si>
  <si>
    <t>Gandhidham</t>
  </si>
  <si>
    <t>216.88118727311775</t>
  </si>
  <si>
    <t>469</t>
  </si>
  <si>
    <t>03732</t>
  </si>
  <si>
    <t>Vav</t>
  </si>
  <si>
    <t>1765.2358670168126</t>
  </si>
  <si>
    <t>03733</t>
  </si>
  <si>
    <t>Tharad</t>
  </si>
  <si>
    <t>1374.9125144668212</t>
  </si>
  <si>
    <t>03734</t>
  </si>
  <si>
    <t>Dhanera</t>
  </si>
  <si>
    <t>833.97444592144598</t>
  </si>
  <si>
    <t>03735</t>
  </si>
  <si>
    <t>Dantiwada</t>
  </si>
  <si>
    <t>453.73565763366383</t>
  </si>
  <si>
    <t>03736</t>
  </si>
  <si>
    <t>Amirgadh</t>
  </si>
  <si>
    <t>690.45241603229545</t>
  </si>
  <si>
    <t>03737</t>
  </si>
  <si>
    <t>Danta</t>
  </si>
  <si>
    <t>901.08625854874606</t>
  </si>
  <si>
    <t>03738</t>
  </si>
  <si>
    <t>Vadgam</t>
  </si>
  <si>
    <t>585.41524220650422</t>
  </si>
  <si>
    <t>03739</t>
  </si>
  <si>
    <t>Palanpur</t>
  </si>
  <si>
    <t>786.57137065590052</t>
  </si>
  <si>
    <t>03740</t>
  </si>
  <si>
    <t>Deesa</t>
  </si>
  <si>
    <t>1478.1780566285547</t>
  </si>
  <si>
    <t>03741</t>
  </si>
  <si>
    <t>Deodar</t>
  </si>
  <si>
    <t>590.30357355558931</t>
  </si>
  <si>
    <t>03742</t>
  </si>
  <si>
    <t>Bhabhar</t>
  </si>
  <si>
    <t>449.72894889492721</t>
  </si>
  <si>
    <t>03743</t>
  </si>
  <si>
    <t>Kankrej</t>
  </si>
  <si>
    <t>833.40564843873949</t>
  </si>
  <si>
    <t>03744</t>
  </si>
  <si>
    <t>Santalpur</t>
  </si>
  <si>
    <t>1328.8377930415627</t>
  </si>
  <si>
    <t>03745</t>
  </si>
  <si>
    <t>Radhanpur</t>
  </si>
  <si>
    <t>602.96044801037101</t>
  </si>
  <si>
    <t>03746</t>
  </si>
  <si>
    <t>Sidhpur</t>
  </si>
  <si>
    <t>381.54486573196874</t>
  </si>
  <si>
    <t>03747</t>
  </si>
  <si>
    <t>1023.8727862325338</t>
  </si>
  <si>
    <t>03748</t>
  </si>
  <si>
    <t>Harij</t>
  </si>
  <si>
    <t>403.97418603520669</t>
  </si>
  <si>
    <t>03749</t>
  </si>
  <si>
    <t>Sami</t>
  </si>
  <si>
    <t>1593.7421287086779</t>
  </si>
  <si>
    <t>03750</t>
  </si>
  <si>
    <t>Chanasma</t>
  </si>
  <si>
    <t>457.06779223967919</t>
  </si>
  <si>
    <t>03751</t>
  </si>
  <si>
    <t>Satlasana</t>
  </si>
  <si>
    <t>310.33089149953685</t>
  </si>
  <si>
    <t>03752</t>
  </si>
  <si>
    <t>Kheralu</t>
  </si>
  <si>
    <t>321.64800176233598</t>
  </si>
  <si>
    <t>03753</t>
  </si>
  <si>
    <t>Unjha</t>
  </si>
  <si>
    <t>313.8498906180659</t>
  </si>
  <si>
    <t>03754</t>
  </si>
  <si>
    <t>Visnagar</t>
  </si>
  <si>
    <t>484.26468375243712</t>
  </si>
  <si>
    <t>03755</t>
  </si>
  <si>
    <t>Vadnagar</t>
  </si>
  <si>
    <t>322.56727078614318</t>
  </si>
  <si>
    <t>03756</t>
  </si>
  <si>
    <t>Vijapur</t>
  </si>
  <si>
    <t>556.07502200784131</t>
  </si>
  <si>
    <t>03757</t>
  </si>
  <si>
    <t>Mahesana</t>
  </si>
  <si>
    <t>842.77494812025054</t>
  </si>
  <si>
    <t>03758</t>
  </si>
  <si>
    <t>Becharaji</t>
  </si>
  <si>
    <t>418.14603863210357</t>
  </si>
  <si>
    <t>03759</t>
  </si>
  <si>
    <t>Kadi</t>
  </si>
  <si>
    <t>831.34325282128555</t>
  </si>
  <si>
    <t>03760</t>
  </si>
  <si>
    <t>Khedbrahma</t>
  </si>
  <si>
    <t>881.89909823774087</t>
  </si>
  <si>
    <t>03761</t>
  </si>
  <si>
    <t>Vijaynagar</t>
  </si>
  <si>
    <t>477.66061127482237</t>
  </si>
  <si>
    <t>03762</t>
  </si>
  <si>
    <t>Vadali</t>
  </si>
  <si>
    <t>374.97999500794407</t>
  </si>
  <si>
    <t>03763</t>
  </si>
  <si>
    <t>Idar</t>
  </si>
  <si>
    <t>788.70421843187069</t>
  </si>
  <si>
    <t>03764</t>
  </si>
  <si>
    <t>Bhiloda</t>
  </si>
  <si>
    <t>726.49305876748531</t>
  </si>
  <si>
    <t>03765</t>
  </si>
  <si>
    <t>Meghraj</t>
  </si>
  <si>
    <t>551.12877244687229</t>
  </si>
  <si>
    <t>03766</t>
  </si>
  <si>
    <t>Himatnagar</t>
  </si>
  <si>
    <t>771.13756818084914</t>
  </si>
  <si>
    <t>03767</t>
  </si>
  <si>
    <t>Prantij</t>
  </si>
  <si>
    <t>411.01203545900859</t>
  </si>
  <si>
    <t>03768</t>
  </si>
  <si>
    <t>Talod</t>
  </si>
  <si>
    <t>435.65704530230374</t>
  </si>
  <si>
    <t>03769</t>
  </si>
  <si>
    <t>Modasa</t>
  </si>
  <si>
    <t>618.16098976309661</t>
  </si>
  <si>
    <t>03770</t>
  </si>
  <si>
    <t>Dhansura</t>
  </si>
  <si>
    <t>400.43563787978587</t>
  </si>
  <si>
    <t>03771</t>
  </si>
  <si>
    <t>Malpur</t>
  </si>
  <si>
    <t>366.33884518369149</t>
  </si>
  <si>
    <t>03772</t>
  </si>
  <si>
    <t>Bayad</t>
  </si>
  <si>
    <t>590.39212406452987</t>
  </si>
  <si>
    <t>03773</t>
  </si>
  <si>
    <t>Kalol</t>
  </si>
  <si>
    <t>487.60302915503604</t>
  </si>
  <si>
    <t>03774</t>
  </si>
  <si>
    <t>368.88911826268173</t>
  </si>
  <si>
    <t>03775</t>
  </si>
  <si>
    <t>Gandhinagar</t>
  </si>
  <si>
    <t>671.31825286397634</t>
  </si>
  <si>
    <t>03776</t>
  </si>
  <si>
    <t>Dehgam</t>
  </si>
  <si>
    <t>612.18959971830623</t>
  </si>
  <si>
    <t>474</t>
  </si>
  <si>
    <t>03777</t>
  </si>
  <si>
    <t>Mandal</t>
  </si>
  <si>
    <t>477.97233101618804</t>
  </si>
  <si>
    <t>03778</t>
  </si>
  <si>
    <t>Detroj-Rampura</t>
  </si>
  <si>
    <t>439.11950360197545</t>
  </si>
  <si>
    <t>03779</t>
  </si>
  <si>
    <t>Viramgam</t>
  </si>
  <si>
    <t>815.72661604272696</t>
  </si>
  <si>
    <t>03780</t>
  </si>
  <si>
    <t>Sanand</t>
  </si>
  <si>
    <t>801.51742561151104</t>
  </si>
  <si>
    <t>03781</t>
  </si>
  <si>
    <t>Ahmadabad City</t>
  </si>
  <si>
    <t>474.51222188449583</t>
  </si>
  <si>
    <t>03782</t>
  </si>
  <si>
    <t>Daskroi</t>
  </si>
  <si>
    <t>501.23096831564118</t>
  </si>
  <si>
    <t>03783</t>
  </si>
  <si>
    <t>Dholka</t>
  </si>
  <si>
    <t>961.20706805524799</t>
  </si>
  <si>
    <t>03784</t>
  </si>
  <si>
    <t>Bavla</t>
  </si>
  <si>
    <t>798.55559875060123</t>
  </si>
  <si>
    <t>03785</t>
  </si>
  <si>
    <t>Ranpur</t>
  </si>
  <si>
    <t>491.6919893779243</t>
  </si>
  <si>
    <t>03786</t>
  </si>
  <si>
    <t>Barwala</t>
  </si>
  <si>
    <t>498.32722236104604</t>
  </si>
  <si>
    <t>03787</t>
  </si>
  <si>
    <t>Dhandhuka</t>
  </si>
  <si>
    <t>1847.1390549826419</t>
  </si>
  <si>
    <t>475</t>
  </si>
  <si>
    <t>03788</t>
  </si>
  <si>
    <t>Halvad</t>
  </si>
  <si>
    <t>1257.0160298529997</t>
  </si>
  <si>
    <t>03789</t>
  </si>
  <si>
    <t>Dhrangadhra</t>
  </si>
  <si>
    <t>1381.5529084911666</t>
  </si>
  <si>
    <t>03790</t>
  </si>
  <si>
    <t>Dasada</t>
  </si>
  <si>
    <t>1556.5840415967202</t>
  </si>
  <si>
    <t>03791</t>
  </si>
  <si>
    <t>Lakhtar</t>
  </si>
  <si>
    <t>758.52631928005098</t>
  </si>
  <si>
    <t>03792</t>
  </si>
  <si>
    <t>Wadhwan</t>
  </si>
  <si>
    <t>800.30101399977332</t>
  </si>
  <si>
    <t>03793</t>
  </si>
  <si>
    <t>Muli</t>
  </si>
  <si>
    <t>942.21882839827902</t>
  </si>
  <si>
    <t>03794</t>
  </si>
  <si>
    <t>Chotila</t>
  </si>
  <si>
    <t>1070.722580584036</t>
  </si>
  <si>
    <t>03795</t>
  </si>
  <si>
    <t>972.08948425199185</t>
  </si>
  <si>
    <t>03796</t>
  </si>
  <si>
    <t>Chuda</t>
  </si>
  <si>
    <t>514.76533921912426</t>
  </si>
  <si>
    <t>03797</t>
  </si>
  <si>
    <t>Limbdi</t>
  </si>
  <si>
    <t>1169.2234543258576</t>
  </si>
  <si>
    <t>03798</t>
  </si>
  <si>
    <t>Maliya</t>
  </si>
  <si>
    <t>755.75835534246846</t>
  </si>
  <si>
    <t>03799</t>
  </si>
  <si>
    <t>Morvi</t>
  </si>
  <si>
    <t>1069.650576381918</t>
  </si>
  <si>
    <t>03800</t>
  </si>
  <si>
    <t>Tankara</t>
  </si>
  <si>
    <t>629.48797593747963</t>
  </si>
  <si>
    <t>03801</t>
  </si>
  <si>
    <t>Wankaner</t>
  </si>
  <si>
    <t>1127.7918434453557</t>
  </si>
  <si>
    <t>03802</t>
  </si>
  <si>
    <t>Paddhari</t>
  </si>
  <si>
    <t>625.09814471228128</t>
  </si>
  <si>
    <t>03803</t>
  </si>
  <si>
    <t>Rajkot</t>
  </si>
  <si>
    <t>1114.87076324646</t>
  </si>
  <si>
    <t>03804</t>
  </si>
  <si>
    <t>Lodhika</t>
  </si>
  <si>
    <t>400.96749437160474</t>
  </si>
  <si>
    <t>03805</t>
  </si>
  <si>
    <t>Kotda Sangani</t>
  </si>
  <si>
    <t>543.06372268683219</t>
  </si>
  <si>
    <t>03806</t>
  </si>
  <si>
    <t>Jasdan</t>
  </si>
  <si>
    <t>1253.4550816275541</t>
  </si>
  <si>
    <t>03807</t>
  </si>
  <si>
    <t>Gondal</t>
  </si>
  <si>
    <t>1145.3834854801539</t>
  </si>
  <si>
    <t>03808</t>
  </si>
  <si>
    <t>Jamkandorna</t>
  </si>
  <si>
    <t>553.47165987574715</t>
  </si>
  <si>
    <t>03809</t>
  </si>
  <si>
    <t>Upleta</t>
  </si>
  <si>
    <t>798.23789329683893</t>
  </si>
  <si>
    <t>03810</t>
  </si>
  <si>
    <t>Dhoraji</t>
  </si>
  <si>
    <t>503.24785095535162</t>
  </si>
  <si>
    <t>03811</t>
  </si>
  <si>
    <t>Jetpur</t>
  </si>
  <si>
    <t>677.5151526399552</t>
  </si>
  <si>
    <t>03812</t>
  </si>
  <si>
    <t>Okhamandal</t>
  </si>
  <si>
    <t>893.56383973890797</t>
  </si>
  <si>
    <t>03813</t>
  </si>
  <si>
    <t>Khambhalia</t>
  </si>
  <si>
    <t>1724.7702898933981</t>
  </si>
  <si>
    <t>03814</t>
  </si>
  <si>
    <t>Jamnagar</t>
  </si>
  <si>
    <t>1901.3242782884495</t>
  </si>
  <si>
    <t>03815</t>
  </si>
  <si>
    <t>Jodiya</t>
  </si>
  <si>
    <t>1470.7564686471428</t>
  </si>
  <si>
    <t>03816</t>
  </si>
  <si>
    <t>Dhrol</t>
  </si>
  <si>
    <t>753.52629553321788</t>
  </si>
  <si>
    <t>03817</t>
  </si>
  <si>
    <t>Kalavad</t>
  </si>
  <si>
    <t>1633.7188773940707</t>
  </si>
  <si>
    <t>03818</t>
  </si>
  <si>
    <t>Lalpur</t>
  </si>
  <si>
    <t>1464.0037023228106</t>
  </si>
  <si>
    <t>03819</t>
  </si>
  <si>
    <t>1934.2487297767884</t>
  </si>
  <si>
    <t>03820</t>
  </si>
  <si>
    <t>Bhanvad</t>
  </si>
  <si>
    <t>961.07895008379296</t>
  </si>
  <si>
    <t>03821</t>
  </si>
  <si>
    <t>Jamjodhpur</t>
  </si>
  <si>
    <t>1447.0085683214179</t>
  </si>
  <si>
    <t>03822</t>
  </si>
  <si>
    <t>Porbandar</t>
  </si>
  <si>
    <t>1145.4951340223802</t>
  </si>
  <si>
    <t>03823</t>
  </si>
  <si>
    <t>Ranavav</t>
  </si>
  <si>
    <t>584.57209287855574</t>
  </si>
  <si>
    <t>03824</t>
  </si>
  <si>
    <t>Kutiyana</t>
  </si>
  <si>
    <t>585.93277309906421</t>
  </si>
  <si>
    <t>03825</t>
  </si>
  <si>
    <t>Manavadar</t>
  </si>
  <si>
    <t>596.70832078974831</t>
  </si>
  <si>
    <t>03826</t>
  </si>
  <si>
    <t>Vanthali</t>
  </si>
  <si>
    <t>394.06594579471789</t>
  </si>
  <si>
    <t>03827</t>
  </si>
  <si>
    <t>Junagadh</t>
  </si>
  <si>
    <t>680.31499860645022</t>
  </si>
  <si>
    <t>03828</t>
  </si>
  <si>
    <t>Bhesan</t>
  </si>
  <si>
    <t>439.48857154478651</t>
  </si>
  <si>
    <t>03829</t>
  </si>
  <si>
    <t>Visavadar</t>
  </si>
  <si>
    <t>893.58681308998234</t>
  </si>
  <si>
    <t>03830</t>
  </si>
  <si>
    <t>Mendarda</t>
  </si>
  <si>
    <t>366.82801302019789</t>
  </si>
  <si>
    <t>03831</t>
  </si>
  <si>
    <t>Keshod</t>
  </si>
  <si>
    <t>566.77115882280179</t>
  </si>
  <si>
    <t>03832</t>
  </si>
  <si>
    <t>592.45313011982284</t>
  </si>
  <si>
    <t>03833</t>
  </si>
  <si>
    <t>Malia</t>
  </si>
  <si>
    <t>525.26416089274994</t>
  </si>
  <si>
    <t>03834</t>
  </si>
  <si>
    <t>Talala</t>
  </si>
  <si>
    <t>979.87491652924325</t>
  </si>
  <si>
    <t>03835</t>
  </si>
  <si>
    <t>Patan-Veraval</t>
  </si>
  <si>
    <t>365.14703505838543</t>
  </si>
  <si>
    <t>03836</t>
  </si>
  <si>
    <t>Sutrapada</t>
  </si>
  <si>
    <t>327.10324985940832</t>
  </si>
  <si>
    <t>03837</t>
  </si>
  <si>
    <t>Kodinar</t>
  </si>
  <si>
    <t>536.82901301185086</t>
  </si>
  <si>
    <t>03838</t>
  </si>
  <si>
    <t>1566.5646728598547</t>
  </si>
  <si>
    <t>03839</t>
  </si>
  <si>
    <t>Kunkavav Vadia</t>
  </si>
  <si>
    <t>551.0793184242898</t>
  </si>
  <si>
    <t>03840</t>
  </si>
  <si>
    <t>Babra</t>
  </si>
  <si>
    <t>799.99400233189624</t>
  </si>
  <si>
    <t>03841</t>
  </si>
  <si>
    <t>Lathi</t>
  </si>
  <si>
    <t>647.70254095157816</t>
  </si>
  <si>
    <t>03842</t>
  </si>
  <si>
    <t>Lilia</t>
  </si>
  <si>
    <t>385.91967771026731</t>
  </si>
  <si>
    <t>03843</t>
  </si>
  <si>
    <t>Amreli</t>
  </si>
  <si>
    <t>833.20870314614717</t>
  </si>
  <si>
    <t>03844</t>
  </si>
  <si>
    <t>Bagasara</t>
  </si>
  <si>
    <t>346.43327217544424</t>
  </si>
  <si>
    <t>03845</t>
  </si>
  <si>
    <t>1049.7767050284474</t>
  </si>
  <si>
    <t>03846</t>
  </si>
  <si>
    <t>Savar Kundla</t>
  </si>
  <si>
    <t>1169.6549450946825</t>
  </si>
  <si>
    <t>03847</t>
  </si>
  <si>
    <t>Khambha</t>
  </si>
  <si>
    <t>604.19589284811605</t>
  </si>
  <si>
    <t>03848</t>
  </si>
  <si>
    <t>Jafrabad</t>
  </si>
  <si>
    <t>351.57655636525413</t>
  </si>
  <si>
    <t>03849</t>
  </si>
  <si>
    <t>Rajula</t>
  </si>
  <si>
    <t>657.45838592387679</t>
  </si>
  <si>
    <t>03850</t>
  </si>
  <si>
    <t>Botad</t>
  </si>
  <si>
    <t>794.07021457186249</t>
  </si>
  <si>
    <t>03851</t>
  </si>
  <si>
    <t>Vallabhipur</t>
  </si>
  <si>
    <t>629.37893320702233</t>
  </si>
  <si>
    <t>03852</t>
  </si>
  <si>
    <t>Gadhada</t>
  </si>
  <si>
    <t>900.3086289362858</t>
  </si>
  <si>
    <t>03853</t>
  </si>
  <si>
    <t>Umrala</t>
  </si>
  <si>
    <t>428.53223993192449</t>
  </si>
  <si>
    <t>03854</t>
  </si>
  <si>
    <t>Bhavnagar</t>
  </si>
  <si>
    <t>2293.2186742088934</t>
  </si>
  <si>
    <t>03855</t>
  </si>
  <si>
    <t>Ghogha</t>
  </si>
  <si>
    <t>699.43977182460253</t>
  </si>
  <si>
    <t>03856</t>
  </si>
  <si>
    <t>Sihor</t>
  </si>
  <si>
    <t>740.24499191785048</t>
  </si>
  <si>
    <t>03857</t>
  </si>
  <si>
    <t>Gariadhar</t>
  </si>
  <si>
    <t>498.29858353756532</t>
  </si>
  <si>
    <t>03858</t>
  </si>
  <si>
    <t>Palitana</t>
  </si>
  <si>
    <t>755.31842139244918</t>
  </si>
  <si>
    <t>03859</t>
  </si>
  <si>
    <t>Talaja</t>
  </si>
  <si>
    <t>973.92156735910714</t>
  </si>
  <si>
    <t>03860</t>
  </si>
  <si>
    <t>Mahuva</t>
  </si>
  <si>
    <t>1321.2679731124376</t>
  </si>
  <si>
    <t>03861</t>
  </si>
  <si>
    <t>335.32297164613573</t>
  </si>
  <si>
    <t>03862</t>
  </si>
  <si>
    <t>Sojitra</t>
  </si>
  <si>
    <t>168.83647059886809</t>
  </si>
  <si>
    <t>03863</t>
  </si>
  <si>
    <t>233.80965635686567</t>
  </si>
  <si>
    <t>03864</t>
  </si>
  <si>
    <t>Anand</t>
  </si>
  <si>
    <t>445.87790153308828</t>
  </si>
  <si>
    <t>03865</t>
  </si>
  <si>
    <t>Petlad</t>
  </si>
  <si>
    <t>305.0725565473694</t>
  </si>
  <si>
    <t>03866</t>
  </si>
  <si>
    <t>Khambhat</t>
  </si>
  <si>
    <t>1111.2917109759701</t>
  </si>
  <si>
    <t>03867</t>
  </si>
  <si>
    <t>Borsad</t>
  </si>
  <si>
    <t>420.5915602250256</t>
  </si>
  <si>
    <t>03868</t>
  </si>
  <si>
    <t>Anklav</t>
  </si>
  <si>
    <t>183.19717211667719</t>
  </si>
  <si>
    <t>03869</t>
  </si>
  <si>
    <t>Kapadvanj</t>
  </si>
  <si>
    <t>634.48177013519535</t>
  </si>
  <si>
    <t>03870</t>
  </si>
  <si>
    <t>Virpur</t>
  </si>
  <si>
    <t>256.33757947329553</t>
  </si>
  <si>
    <t>03871</t>
  </si>
  <si>
    <t>Balasinor</t>
  </si>
  <si>
    <t>304.95834592623589</t>
  </si>
  <si>
    <t>03872</t>
  </si>
  <si>
    <t>Kathlal</t>
  </si>
  <si>
    <t>354.13008535801004</t>
  </si>
  <si>
    <t>03873</t>
  </si>
  <si>
    <t>Mehmedabad</t>
  </si>
  <si>
    <t>390.65023770976961</t>
  </si>
  <si>
    <t>03874</t>
  </si>
  <si>
    <t>Kheda</t>
  </si>
  <si>
    <t>303.65888135351463</t>
  </si>
  <si>
    <t>03875</t>
  </si>
  <si>
    <t>Matar</t>
  </si>
  <si>
    <t>386.19047529619013</t>
  </si>
  <si>
    <t>03876</t>
  </si>
  <si>
    <t>Nadiad</t>
  </si>
  <si>
    <t>404.06071210025351</t>
  </si>
  <si>
    <t>03877</t>
  </si>
  <si>
    <t>Mahudha</t>
  </si>
  <si>
    <t>247.74032186017138</t>
  </si>
  <si>
    <t>03878</t>
  </si>
  <si>
    <t>Thasra</t>
  </si>
  <si>
    <t>670.80440387190117</t>
  </si>
  <si>
    <t>03879</t>
  </si>
  <si>
    <t>332.71508117821685</t>
  </si>
  <si>
    <t>03880</t>
  </si>
  <si>
    <t>Kadana</t>
  </si>
  <si>
    <t>423.81972785306345</t>
  </si>
  <si>
    <t>03881</t>
  </si>
  <si>
    <t>Santrampur</t>
  </si>
  <si>
    <t>568.80526016856197</t>
  </si>
  <si>
    <t>03882</t>
  </si>
  <si>
    <t>Lunawada</t>
  </si>
  <si>
    <t>623.52329720628109</t>
  </si>
  <si>
    <t>03883</t>
  </si>
  <si>
    <t>Shehera</t>
  </si>
  <si>
    <t>629.17443506709878</t>
  </si>
  <si>
    <t>03884</t>
  </si>
  <si>
    <t>Morwa (Hadaf)</t>
  </si>
  <si>
    <t>324.04388650905008</t>
  </si>
  <si>
    <t>03885</t>
  </si>
  <si>
    <t>Godhra</t>
  </si>
  <si>
    <t>764.69027117739381</t>
  </si>
  <si>
    <t>03886</t>
  </si>
  <si>
    <t>399.79026256783095</t>
  </si>
  <si>
    <t>03887</t>
  </si>
  <si>
    <t>Ghoghamba</t>
  </si>
  <si>
    <t>499.25892188537449</t>
  </si>
  <si>
    <t>03888</t>
  </si>
  <si>
    <t>Halol</t>
  </si>
  <si>
    <t>518.42211606147487</t>
  </si>
  <si>
    <t>03889</t>
  </si>
  <si>
    <t>Jambughoda</t>
  </si>
  <si>
    <t>146.75674032565405</t>
  </si>
  <si>
    <t>03890</t>
  </si>
  <si>
    <t>Fatepura</t>
  </si>
  <si>
    <t>325.59139224072652</t>
  </si>
  <si>
    <t>03891</t>
  </si>
  <si>
    <t>Jhalod</t>
  </si>
  <si>
    <t>804.32989368147855</t>
  </si>
  <si>
    <t>03892</t>
  </si>
  <si>
    <t>Limkheda</t>
  </si>
  <si>
    <t>594.81032525408602</t>
  </si>
  <si>
    <t>03893</t>
  </si>
  <si>
    <t>Dohad</t>
  </si>
  <si>
    <t>616.00513215000751</t>
  </si>
  <si>
    <t>03894</t>
  </si>
  <si>
    <t>Garbada</t>
  </si>
  <si>
    <t>258.29376537407785</t>
  </si>
  <si>
    <t>03895</t>
  </si>
  <si>
    <t>Devgadbaria</t>
  </si>
  <si>
    <t>574.50361477886838</t>
  </si>
  <si>
    <t>03896</t>
  </si>
  <si>
    <t>Dhanpur</t>
  </si>
  <si>
    <t>468.46587652075505</t>
  </si>
  <si>
    <t>03897</t>
  </si>
  <si>
    <t>Savli</t>
  </si>
  <si>
    <t>794.93764141857514</t>
  </si>
  <si>
    <t>03898</t>
  </si>
  <si>
    <t>Vadodara</t>
  </si>
  <si>
    <t>670.6771873187846</t>
  </si>
  <si>
    <t>03899</t>
  </si>
  <si>
    <t>Vaghodia</t>
  </si>
  <si>
    <t>566.37515730839232</t>
  </si>
  <si>
    <t>03900</t>
  </si>
  <si>
    <t>Jetpur Pavi</t>
  </si>
  <si>
    <t>806.34001116472939</t>
  </si>
  <si>
    <t>03901</t>
  </si>
  <si>
    <t>Chhota Udaipur</t>
  </si>
  <si>
    <t>772.51618970922584</t>
  </si>
  <si>
    <t>03902</t>
  </si>
  <si>
    <t>Kavant</t>
  </si>
  <si>
    <t>613.98220690740459</t>
  </si>
  <si>
    <t>03903</t>
  </si>
  <si>
    <t>Nasvadi</t>
  </si>
  <si>
    <t>538.38155340303013</t>
  </si>
  <si>
    <t>03904</t>
  </si>
  <si>
    <t>Sankheda</t>
  </si>
  <si>
    <t>724.03667122888021</t>
  </si>
  <si>
    <t>03905</t>
  </si>
  <si>
    <t>Dabhoi</t>
  </si>
  <si>
    <t>635.43810653054095</t>
  </si>
  <si>
    <t>03906</t>
  </si>
  <si>
    <t>Padra</t>
  </si>
  <si>
    <t>535.08165753431024</t>
  </si>
  <si>
    <t>03907</t>
  </si>
  <si>
    <t>Karjan</t>
  </si>
  <si>
    <t>596.24933561730484</t>
  </si>
  <si>
    <t>03908</t>
  </si>
  <si>
    <t>Sinor</t>
  </si>
  <si>
    <t>291.98428185882324</t>
  </si>
  <si>
    <t>03909</t>
  </si>
  <si>
    <t>Tilakwada</t>
  </si>
  <si>
    <t>247.69185307535531</t>
  </si>
  <si>
    <t>03910</t>
  </si>
  <si>
    <t>Nandod</t>
  </si>
  <si>
    <t>1106.3938991285818</t>
  </si>
  <si>
    <t>03911</t>
  </si>
  <si>
    <t>Dediapada</t>
  </si>
  <si>
    <t>1052.9081358781962</t>
  </si>
  <si>
    <t>03912</t>
  </si>
  <si>
    <t>Sagbara</t>
  </si>
  <si>
    <t>410.0061119178668</t>
  </si>
  <si>
    <t>03913</t>
  </si>
  <si>
    <t>Jambusar</t>
  </si>
  <si>
    <t>1443.7125176581624</t>
  </si>
  <si>
    <t>03914</t>
  </si>
  <si>
    <t>Amod</t>
  </si>
  <si>
    <t>449.31014814072194</t>
  </si>
  <si>
    <t>03915</t>
  </si>
  <si>
    <t>Vagra</t>
  </si>
  <si>
    <t>1643.9095817480825</t>
  </si>
  <si>
    <t>03916</t>
  </si>
  <si>
    <t>Bharuch</t>
  </si>
  <si>
    <t>633.73191871892368</t>
  </si>
  <si>
    <t>03917</t>
  </si>
  <si>
    <t>Jhagadia</t>
  </si>
  <si>
    <t>808.68807785400691</t>
  </si>
  <si>
    <t>03918</t>
  </si>
  <si>
    <t>Anklesvar</t>
  </si>
  <si>
    <t>454.92219608910955</t>
  </si>
  <si>
    <t>03919</t>
  </si>
  <si>
    <t>Hansot</t>
  </si>
  <si>
    <t>557.79687199384091</t>
  </si>
  <si>
    <t>03920</t>
  </si>
  <si>
    <t>Valia</t>
  </si>
  <si>
    <t>516.9286877971515</t>
  </si>
  <si>
    <t>03921</t>
  </si>
  <si>
    <t>The Dangs</t>
  </si>
  <si>
    <t>1765.9987533032947</t>
  </si>
  <si>
    <t>03922</t>
  </si>
  <si>
    <t>Navsari</t>
  </si>
  <si>
    <t>256.26690487496637</t>
  </si>
  <si>
    <t>03923</t>
  </si>
  <si>
    <t>Jalalpore</t>
  </si>
  <si>
    <t>501.85064886941757</t>
  </si>
  <si>
    <t>03924</t>
  </si>
  <si>
    <t>Gandevi</t>
  </si>
  <si>
    <t>298.06973614043108</t>
  </si>
  <si>
    <t>03925</t>
  </si>
  <si>
    <t>Chikhli</t>
  </si>
  <si>
    <t>587.47007563009879</t>
  </si>
  <si>
    <t>03926</t>
  </si>
  <si>
    <t>Bansda</t>
  </si>
  <si>
    <t>602.34263448508602</t>
  </si>
  <si>
    <t>03927</t>
  </si>
  <si>
    <t>Valsad</t>
  </si>
  <si>
    <t>523.5174017459201</t>
  </si>
  <si>
    <t>03928</t>
  </si>
  <si>
    <t>Dharampur</t>
  </si>
  <si>
    <t>725.77465326369395</t>
  </si>
  <si>
    <t>03929</t>
  </si>
  <si>
    <t>Pardi</t>
  </si>
  <si>
    <t>437.55510885116422</t>
  </si>
  <si>
    <t>03930</t>
  </si>
  <si>
    <t>Kaprada</t>
  </si>
  <si>
    <t>947.85685283817338</t>
  </si>
  <si>
    <t>03931</t>
  </si>
  <si>
    <t>Umbergaon</t>
  </si>
  <si>
    <t>373.29598330104864</t>
  </si>
  <si>
    <t>492</t>
  </si>
  <si>
    <t>03932</t>
  </si>
  <si>
    <t>Olpad</t>
  </si>
  <si>
    <t>720.71050612665613</t>
  </si>
  <si>
    <t>03933</t>
  </si>
  <si>
    <t>619.97071544229129</t>
  </si>
  <si>
    <t>03934</t>
  </si>
  <si>
    <t>Umarpada</t>
  </si>
  <si>
    <t>430.89510860074171</t>
  </si>
  <si>
    <t>03935</t>
  </si>
  <si>
    <t>763.20772247395189</t>
  </si>
  <si>
    <t>03936</t>
  </si>
  <si>
    <t>Kamrej</t>
  </si>
  <si>
    <t>391.47309568792366</t>
  </si>
  <si>
    <t>03937</t>
  </si>
  <si>
    <t>Surat City</t>
  </si>
  <si>
    <t>335.81941753297173</t>
  </si>
  <si>
    <t>03938</t>
  </si>
  <si>
    <t>Chorasi</t>
  </si>
  <si>
    <t>310.82113632219631</t>
  </si>
  <si>
    <t>03939</t>
  </si>
  <si>
    <t>Palsana</t>
  </si>
  <si>
    <t>209.47221885694452</t>
  </si>
  <si>
    <t>03940</t>
  </si>
  <si>
    <t>Bardoli</t>
  </si>
  <si>
    <t>397.20537475505205</t>
  </si>
  <si>
    <t>03941</t>
  </si>
  <si>
    <t>369.42470420127097</t>
  </si>
  <si>
    <t>493</t>
  </si>
  <si>
    <t>03942</t>
  </si>
  <si>
    <t>Nizar</t>
  </si>
  <si>
    <t>401.46708574931</t>
  </si>
  <si>
    <t>03943</t>
  </si>
  <si>
    <t>Uchchhal</t>
  </si>
  <si>
    <t>565.36108818027515</t>
  </si>
  <si>
    <t>03944</t>
  </si>
  <si>
    <t>Songadh</t>
  </si>
  <si>
    <t>1154.8464843091799</t>
  </si>
  <si>
    <t>03945</t>
  </si>
  <si>
    <t>Vyara</t>
  </si>
  <si>
    <t>813.41137123354736</t>
  </si>
  <si>
    <t>03946</t>
  </si>
  <si>
    <t>Valod</t>
  </si>
  <si>
    <t>203.91397052768795</t>
  </si>
  <si>
    <t>494</t>
  </si>
  <si>
    <t>03947</t>
  </si>
  <si>
    <t>Diu</t>
  </si>
  <si>
    <t>03948</t>
  </si>
  <si>
    <t>Daman</t>
  </si>
  <si>
    <t>03949</t>
  </si>
  <si>
    <t>Dadra &amp; Nagar Haveli</t>
  </si>
  <si>
    <t>497</t>
  </si>
  <si>
    <t>03950</t>
  </si>
  <si>
    <t>Akkalkuwa</t>
  </si>
  <si>
    <t>936.02</t>
  </si>
  <si>
    <t>03951</t>
  </si>
  <si>
    <t>Akrani</t>
  </si>
  <si>
    <t>1282.31</t>
  </si>
  <si>
    <t>03952</t>
  </si>
  <si>
    <t>Talode</t>
  </si>
  <si>
    <t>455.1</t>
  </si>
  <si>
    <t>03953</t>
  </si>
  <si>
    <t>Shahade</t>
  </si>
  <si>
    <t>1183.31</t>
  </si>
  <si>
    <t>03954</t>
  </si>
  <si>
    <t>Nandurbar</t>
  </si>
  <si>
    <t>1053.53</t>
  </si>
  <si>
    <t>03955</t>
  </si>
  <si>
    <t>Nawapur</t>
  </si>
  <si>
    <t>1044.73</t>
  </si>
  <si>
    <t>03956</t>
  </si>
  <si>
    <t>Shirpur</t>
  </si>
  <si>
    <t>1510.67</t>
  </si>
  <si>
    <t>03957</t>
  </si>
  <si>
    <t>Sindkhede</t>
  </si>
  <si>
    <t>1302.6600000000001</t>
  </si>
  <si>
    <t>03958</t>
  </si>
  <si>
    <t>Sakri</t>
  </si>
  <si>
    <t>2409.86</t>
  </si>
  <si>
    <t>03959</t>
  </si>
  <si>
    <t>Dhule</t>
  </si>
  <si>
    <t>1971.81</t>
  </si>
  <si>
    <t>03960</t>
  </si>
  <si>
    <t>Chopda</t>
  </si>
  <si>
    <t>1154.2</t>
  </si>
  <si>
    <t>03961</t>
  </si>
  <si>
    <t>Yawal</t>
  </si>
  <si>
    <t>03962</t>
  </si>
  <si>
    <t>Raver</t>
  </si>
  <si>
    <t>910.36</t>
  </si>
  <si>
    <t>03963</t>
  </si>
  <si>
    <t>Muktainagar</t>
  </si>
  <si>
    <t>639.34</t>
  </si>
  <si>
    <t>03964</t>
  </si>
  <si>
    <t>Bodvad</t>
  </si>
  <si>
    <t>372.31</t>
  </si>
  <si>
    <t>03965</t>
  </si>
  <si>
    <t>Bhusawal</t>
  </si>
  <si>
    <t>453.43</t>
  </si>
  <si>
    <t>03966</t>
  </si>
  <si>
    <t>Jalgaon</t>
  </si>
  <si>
    <t>822.22</t>
  </si>
  <si>
    <t>03967</t>
  </si>
  <si>
    <t>Erandol</t>
  </si>
  <si>
    <t>513.29</t>
  </si>
  <si>
    <t>03968</t>
  </si>
  <si>
    <t>Dharangaon</t>
  </si>
  <si>
    <t>501.98</t>
  </si>
  <si>
    <t>03969</t>
  </si>
  <si>
    <t>Amalner</t>
  </si>
  <si>
    <t>798.93</t>
  </si>
  <si>
    <t>03970</t>
  </si>
  <si>
    <t>Parola</t>
  </si>
  <si>
    <t>784.22</t>
  </si>
  <si>
    <t>03971</t>
  </si>
  <si>
    <t>Bhadgaon</t>
  </si>
  <si>
    <t>491.34</t>
  </si>
  <si>
    <t>03972</t>
  </si>
  <si>
    <t>Chalisgaon</t>
  </si>
  <si>
    <t>1210.92</t>
  </si>
  <si>
    <t>03973</t>
  </si>
  <si>
    <t>Pachora</t>
  </si>
  <si>
    <t>812.78</t>
  </si>
  <si>
    <t>03974</t>
  </si>
  <si>
    <t>Jamner</t>
  </si>
  <si>
    <t>1349.68</t>
  </si>
  <si>
    <t>03975</t>
  </si>
  <si>
    <t>Jalgaon (Jamod)</t>
  </si>
  <si>
    <t>600.55999999999995</t>
  </si>
  <si>
    <t>03976</t>
  </si>
  <si>
    <t>628.54</t>
  </si>
  <si>
    <t>03977</t>
  </si>
  <si>
    <t>Shegaon</t>
  </si>
  <si>
    <t>524.67999999999995</t>
  </si>
  <si>
    <t>03978</t>
  </si>
  <si>
    <t>Nandura</t>
  </si>
  <si>
    <t>534.86</t>
  </si>
  <si>
    <t>03979</t>
  </si>
  <si>
    <t>Malkapur</t>
  </si>
  <si>
    <t>03980</t>
  </si>
  <si>
    <t>Motala</t>
  </si>
  <si>
    <t>774.12</t>
  </si>
  <si>
    <t>03981</t>
  </si>
  <si>
    <t>Khamgaon</t>
  </si>
  <si>
    <t>1211.8699999999999</t>
  </si>
  <si>
    <t>03982</t>
  </si>
  <si>
    <t>Mehkar</t>
  </si>
  <si>
    <t>1108.0899999999999</t>
  </si>
  <si>
    <t>03983</t>
  </si>
  <si>
    <t>03984</t>
  </si>
  <si>
    <t>Buldana</t>
  </si>
  <si>
    <t>796.73</t>
  </si>
  <si>
    <t>03985</t>
  </si>
  <si>
    <t>Deolgaon Raja</t>
  </si>
  <si>
    <t>476.05</t>
  </si>
  <si>
    <t>03986</t>
  </si>
  <si>
    <t>Sindkhed Raja</t>
  </si>
  <si>
    <t>772.89</t>
  </si>
  <si>
    <t>03987</t>
  </si>
  <si>
    <t>Lonar</t>
  </si>
  <si>
    <t>663.61</t>
  </si>
  <si>
    <t>03988</t>
  </si>
  <si>
    <t>Telhara</t>
  </si>
  <si>
    <t>609.67999999999995</t>
  </si>
  <si>
    <t>03989</t>
  </si>
  <si>
    <t>Akot</t>
  </si>
  <si>
    <t>850.07</t>
  </si>
  <si>
    <t>03990</t>
  </si>
  <si>
    <t>Balapur</t>
  </si>
  <si>
    <t>702.03</t>
  </si>
  <si>
    <t>03991</t>
  </si>
  <si>
    <t>Akola</t>
  </si>
  <si>
    <t>1140.58</t>
  </si>
  <si>
    <t>03992</t>
  </si>
  <si>
    <t>Murtijapur</t>
  </si>
  <si>
    <t>820.39</t>
  </si>
  <si>
    <t>03993</t>
  </si>
  <si>
    <t>Patur</t>
  </si>
  <si>
    <t>737.09</t>
  </si>
  <si>
    <t>03994</t>
  </si>
  <si>
    <t>Barshitakli</t>
  </si>
  <si>
    <t>812.97</t>
  </si>
  <si>
    <t>03995</t>
  </si>
  <si>
    <t>Malegaon</t>
  </si>
  <si>
    <t>883.15</t>
  </si>
  <si>
    <t>03996</t>
  </si>
  <si>
    <t>Mangrulpir</t>
  </si>
  <si>
    <t>736.21</t>
  </si>
  <si>
    <t>03997</t>
  </si>
  <si>
    <t>Karanja</t>
  </si>
  <si>
    <t>823.5</t>
  </si>
  <si>
    <t>03998</t>
  </si>
  <si>
    <t>753.95</t>
  </si>
  <si>
    <t>03999</t>
  </si>
  <si>
    <t>Washim</t>
  </si>
  <si>
    <t>879.64</t>
  </si>
  <si>
    <t>04000</t>
  </si>
  <si>
    <t>Risod</t>
  </si>
  <si>
    <t>824.74</t>
  </si>
  <si>
    <t>04001</t>
  </si>
  <si>
    <t>Dharni</t>
  </si>
  <si>
    <t>1495.55</t>
  </si>
  <si>
    <t>04002</t>
  </si>
  <si>
    <t>Chikhaldara</t>
  </si>
  <si>
    <t>2476.9699999999998</t>
  </si>
  <si>
    <t>04003</t>
  </si>
  <si>
    <t>Anjangaon Surji</t>
  </si>
  <si>
    <t>530.5</t>
  </si>
  <si>
    <t>04004</t>
  </si>
  <si>
    <t>Achalpur</t>
  </si>
  <si>
    <t>666.89</t>
  </si>
  <si>
    <t>04005</t>
  </si>
  <si>
    <t>Chandurbazar</t>
  </si>
  <si>
    <t>686.17</t>
  </si>
  <si>
    <t>04006</t>
  </si>
  <si>
    <t>Morshi</t>
  </si>
  <si>
    <t>804.39</t>
  </si>
  <si>
    <t>04007</t>
  </si>
  <si>
    <t>Warud</t>
  </si>
  <si>
    <t>742.75</t>
  </si>
  <si>
    <t>04008</t>
  </si>
  <si>
    <t>Teosa</t>
  </si>
  <si>
    <t>545.02</t>
  </si>
  <si>
    <t>04009</t>
  </si>
  <si>
    <t>Amravati</t>
  </si>
  <si>
    <t>904.24</t>
  </si>
  <si>
    <t>04010</t>
  </si>
  <si>
    <t>Bhatkuli</t>
  </si>
  <si>
    <t>581.23</t>
  </si>
  <si>
    <t>04011</t>
  </si>
  <si>
    <t>Daryapur</t>
  </si>
  <si>
    <t>784.01</t>
  </si>
  <si>
    <t>04012</t>
  </si>
  <si>
    <t>Nandgaon-Khandeshwar</t>
  </si>
  <si>
    <t>786.95</t>
  </si>
  <si>
    <t>04013</t>
  </si>
  <si>
    <t>Chandur Railway</t>
  </si>
  <si>
    <t>561.84</t>
  </si>
  <si>
    <t>04014</t>
  </si>
  <si>
    <t>Dhamangaon Railway</t>
  </si>
  <si>
    <t>643.49</t>
  </si>
  <si>
    <t>04015</t>
  </si>
  <si>
    <t>Ashti</t>
  </si>
  <si>
    <t>551.66999999999996</t>
  </si>
  <si>
    <t>04016</t>
  </si>
  <si>
    <t>751.12</t>
  </si>
  <si>
    <t>04017</t>
  </si>
  <si>
    <t>Arvi</t>
  </si>
  <si>
    <t>04018</t>
  </si>
  <si>
    <t>Seloo</t>
  </si>
  <si>
    <t>765.13</t>
  </si>
  <si>
    <t>04019</t>
  </si>
  <si>
    <t>Wardha</t>
  </si>
  <si>
    <t>774.67</t>
  </si>
  <si>
    <t>04020</t>
  </si>
  <si>
    <t>680.91</t>
  </si>
  <si>
    <t>04021</t>
  </si>
  <si>
    <t>Hinganghat</t>
  </si>
  <si>
    <t>910.83</t>
  </si>
  <si>
    <t>04022</t>
  </si>
  <si>
    <t>Samudrapur</t>
  </si>
  <si>
    <t>966.4</t>
  </si>
  <si>
    <t>04023</t>
  </si>
  <si>
    <t>Narkhed</t>
  </si>
  <si>
    <t>702.96</t>
  </si>
  <si>
    <t>04024</t>
  </si>
  <si>
    <t>Katol</t>
  </si>
  <si>
    <t>903.97</t>
  </si>
  <si>
    <t>04025</t>
  </si>
  <si>
    <t>Kalameshwar</t>
  </si>
  <si>
    <t>508.16</t>
  </si>
  <si>
    <t>04026</t>
  </si>
  <si>
    <t>Savner</t>
  </si>
  <si>
    <t>645.61</t>
  </si>
  <si>
    <t>04027</t>
  </si>
  <si>
    <t>Parseoni</t>
  </si>
  <si>
    <t>804.84</t>
  </si>
  <si>
    <t>04028</t>
  </si>
  <si>
    <t>Ramtek</t>
  </si>
  <si>
    <t>1168.25</t>
  </si>
  <si>
    <t>04029</t>
  </si>
  <si>
    <t>Mauda</t>
  </si>
  <si>
    <t>619.41999999999996</t>
  </si>
  <si>
    <t>04030</t>
  </si>
  <si>
    <t>Kamptee</t>
  </si>
  <si>
    <t>402.88</t>
  </si>
  <si>
    <t>04031</t>
  </si>
  <si>
    <t>Nagpur (Rural)</t>
  </si>
  <si>
    <t>659.59449404087195</t>
  </si>
  <si>
    <t>04032</t>
  </si>
  <si>
    <t>Nagpur (Urban)</t>
  </si>
  <si>
    <t>217.56</t>
  </si>
  <si>
    <t>04033</t>
  </si>
  <si>
    <t>Hingna</t>
  </si>
  <si>
    <t>779.48</t>
  </si>
  <si>
    <t>04034</t>
  </si>
  <si>
    <t>Umred</t>
  </si>
  <si>
    <t>989.21</t>
  </si>
  <si>
    <t>04035</t>
  </si>
  <si>
    <t>Kuhi</t>
  </si>
  <si>
    <t>815.72</t>
  </si>
  <si>
    <t>04036</t>
  </si>
  <si>
    <t>Bhiwapur</t>
  </si>
  <si>
    <t>674.35</t>
  </si>
  <si>
    <t>04037</t>
  </si>
  <si>
    <t>Tumsar</t>
  </si>
  <si>
    <t>837.57</t>
  </si>
  <si>
    <t>04038</t>
  </si>
  <si>
    <t>Mohadi</t>
  </si>
  <si>
    <t>488.61</t>
  </si>
  <si>
    <t>04039</t>
  </si>
  <si>
    <t>Bhandara</t>
  </si>
  <si>
    <t>649.16</t>
  </si>
  <si>
    <t>04040</t>
  </si>
  <si>
    <t>Sakoli</t>
  </si>
  <si>
    <t>633.73</t>
  </si>
  <si>
    <t>04041</t>
  </si>
  <si>
    <t>Lakhani</t>
  </si>
  <si>
    <t>391.03</t>
  </si>
  <si>
    <t>04042</t>
  </si>
  <si>
    <t>Pauni</t>
  </si>
  <si>
    <t>662.15</t>
  </si>
  <si>
    <t>04043</t>
  </si>
  <si>
    <t>Lakhandur</t>
  </si>
  <si>
    <t>424.75</t>
  </si>
  <si>
    <t>04044</t>
  </si>
  <si>
    <t>Tirora</t>
  </si>
  <si>
    <t>622.87</t>
  </si>
  <si>
    <t>04045</t>
  </si>
  <si>
    <t>Goregaon</t>
  </si>
  <si>
    <t>484.42</t>
  </si>
  <si>
    <t>04046</t>
  </si>
  <si>
    <t>Gondiya</t>
  </si>
  <si>
    <t>662.65</t>
  </si>
  <si>
    <t>04047</t>
  </si>
  <si>
    <t>Amgaon</t>
  </si>
  <si>
    <t>333.32</t>
  </si>
  <si>
    <t>04048</t>
  </si>
  <si>
    <t>Salekasa</t>
  </si>
  <si>
    <t>450.88</t>
  </si>
  <si>
    <t>04049</t>
  </si>
  <si>
    <t>Sadak-Arjuni</t>
  </si>
  <si>
    <t>651.41999999999996</t>
  </si>
  <si>
    <t>04050</t>
  </si>
  <si>
    <t>Arjuni Morgaon</t>
  </si>
  <si>
    <t>988.21</t>
  </si>
  <si>
    <t>04051</t>
  </si>
  <si>
    <t>1040.23</t>
  </si>
  <si>
    <t>04052</t>
  </si>
  <si>
    <t>Desaiganj (Vadasa)</t>
  </si>
  <si>
    <t>262.74</t>
  </si>
  <si>
    <t>04053</t>
  </si>
  <si>
    <t>Armori</t>
  </si>
  <si>
    <t>717.9</t>
  </si>
  <si>
    <t>04054</t>
  </si>
  <si>
    <t>Kurkheda</t>
  </si>
  <si>
    <t>839.68</t>
  </si>
  <si>
    <t>04055</t>
  </si>
  <si>
    <t>Korchi</t>
  </si>
  <si>
    <t>680.44</t>
  </si>
  <si>
    <t>04056</t>
  </si>
  <si>
    <t>1736.92</t>
  </si>
  <si>
    <t>04057</t>
  </si>
  <si>
    <t>Gadchiroli</t>
  </si>
  <si>
    <t>897.15</t>
  </si>
  <si>
    <t>04058</t>
  </si>
  <si>
    <t>Chamorshi</t>
  </si>
  <si>
    <t>1314.18</t>
  </si>
  <si>
    <t>04059</t>
  </si>
  <si>
    <t>Mulchera</t>
  </si>
  <si>
    <t>735.81</t>
  </si>
  <si>
    <t>04060</t>
  </si>
  <si>
    <t>Etapalli</t>
  </si>
  <si>
    <t>2267.3000000000002</t>
  </si>
  <si>
    <t>04061</t>
  </si>
  <si>
    <t>Bhamragad</t>
  </si>
  <si>
    <t>1420.58</t>
  </si>
  <si>
    <t>04062</t>
  </si>
  <si>
    <t>Aheri</t>
  </si>
  <si>
    <t>2282.6999999999998</t>
  </si>
  <si>
    <t>04063</t>
  </si>
  <si>
    <t>Sironcha</t>
  </si>
  <si>
    <t>1256.5999999999999</t>
  </si>
  <si>
    <t>04064</t>
  </si>
  <si>
    <t>Warora</t>
  </si>
  <si>
    <t>1028.93</t>
  </si>
  <si>
    <t>04065</t>
  </si>
  <si>
    <t>Chimur</t>
  </si>
  <si>
    <t>04066</t>
  </si>
  <si>
    <t>Nagbhir</t>
  </si>
  <si>
    <t>735.3</t>
  </si>
  <si>
    <t>04067</t>
  </si>
  <si>
    <t>Brahmapuri</t>
  </si>
  <si>
    <t>814.75</t>
  </si>
  <si>
    <t>04068</t>
  </si>
  <si>
    <t>Sawali</t>
  </si>
  <si>
    <t>663.33</t>
  </si>
  <si>
    <t>04069</t>
  </si>
  <si>
    <t>Sindewahi</t>
  </si>
  <si>
    <t>792.06</t>
  </si>
  <si>
    <t>04070</t>
  </si>
  <si>
    <t>Bhadravati</t>
  </si>
  <si>
    <t>1165.07</t>
  </si>
  <si>
    <t>04071</t>
  </si>
  <si>
    <t>1179.71</t>
  </si>
  <si>
    <t>04072</t>
  </si>
  <si>
    <t>Mul</t>
  </si>
  <si>
    <t>499.51</t>
  </si>
  <si>
    <t>04073</t>
  </si>
  <si>
    <t>Pombhurna</t>
  </si>
  <si>
    <t>397.81</t>
  </si>
  <si>
    <t>04074</t>
  </si>
  <si>
    <t>Ballarpur</t>
  </si>
  <si>
    <t>260.54000000000002</t>
  </si>
  <si>
    <t>04075</t>
  </si>
  <si>
    <t>Korpana</t>
  </si>
  <si>
    <t>560.37</t>
  </si>
  <si>
    <t>04076</t>
  </si>
  <si>
    <t>Jiwati</t>
  </si>
  <si>
    <t>559.15</t>
  </si>
  <si>
    <t>04077</t>
  </si>
  <si>
    <t>Rajura</t>
  </si>
  <si>
    <t>894.92</t>
  </si>
  <si>
    <t>04078</t>
  </si>
  <si>
    <t>Gondpipri</t>
  </si>
  <si>
    <t>749.55</t>
  </si>
  <si>
    <t>04079</t>
  </si>
  <si>
    <t>Ner</t>
  </si>
  <si>
    <t>699.29</t>
  </si>
  <si>
    <t>04080</t>
  </si>
  <si>
    <t>Babulgaon</t>
  </si>
  <si>
    <t>570.83000000000004</t>
  </si>
  <si>
    <t>04081</t>
  </si>
  <si>
    <t>Kalamb</t>
  </si>
  <si>
    <t>753.6</t>
  </si>
  <si>
    <t>04082</t>
  </si>
  <si>
    <t>Yavatmal</t>
  </si>
  <si>
    <t>1117.53</t>
  </si>
  <si>
    <t>04083</t>
  </si>
  <si>
    <t>Darwha</t>
  </si>
  <si>
    <t>879.52</t>
  </si>
  <si>
    <t>04084</t>
  </si>
  <si>
    <t>Digras</t>
  </si>
  <si>
    <t>552.99</t>
  </si>
  <si>
    <t>04085</t>
  </si>
  <si>
    <t>Pusad</t>
  </si>
  <si>
    <t>1173.05</t>
  </si>
  <si>
    <t>04086</t>
  </si>
  <si>
    <t>Umarkhed</t>
  </si>
  <si>
    <t>1295.24</t>
  </si>
  <si>
    <t>04087</t>
  </si>
  <si>
    <t>Mahagaon</t>
  </si>
  <si>
    <t>899.04</t>
  </si>
  <si>
    <t>04088</t>
  </si>
  <si>
    <t>Arni</t>
  </si>
  <si>
    <t>850.51</t>
  </si>
  <si>
    <t>04089</t>
  </si>
  <si>
    <t>Ghatanji</t>
  </si>
  <si>
    <t>954.46</t>
  </si>
  <si>
    <t>04090</t>
  </si>
  <si>
    <t>Kelapur</t>
  </si>
  <si>
    <t>835.49</t>
  </si>
  <si>
    <t>04091</t>
  </si>
  <si>
    <t>Ralegaon</t>
  </si>
  <si>
    <t>761.7</t>
  </si>
  <si>
    <t>04092</t>
  </si>
  <si>
    <t>Maregaon</t>
  </si>
  <si>
    <t>607.16</t>
  </si>
  <si>
    <t>04093</t>
  </si>
  <si>
    <t>Zari-Jamani</t>
  </si>
  <si>
    <t>704.63</t>
  </si>
  <si>
    <t>04094</t>
  </si>
  <si>
    <t>Wani</t>
  </si>
  <si>
    <t>926.96</t>
  </si>
  <si>
    <t>04095</t>
  </si>
  <si>
    <t>Mahoor</t>
  </si>
  <si>
    <t>519.38</t>
  </si>
  <si>
    <t>04096</t>
  </si>
  <si>
    <t>Kinwat</t>
  </si>
  <si>
    <t>1531.88</t>
  </si>
  <si>
    <t>04097</t>
  </si>
  <si>
    <t>Himayatnagar</t>
  </si>
  <si>
    <t>474.1</t>
  </si>
  <si>
    <t>04098</t>
  </si>
  <si>
    <t>Hadgaon</t>
  </si>
  <si>
    <t>1055.18</t>
  </si>
  <si>
    <t>04099</t>
  </si>
  <si>
    <t>Ardhapur</t>
  </si>
  <si>
    <t>300.64999999999998</t>
  </si>
  <si>
    <t>04100</t>
  </si>
  <si>
    <t>Nanded</t>
  </si>
  <si>
    <t>402.91</t>
  </si>
  <si>
    <t>04101</t>
  </si>
  <si>
    <t>Mudkhed</t>
  </si>
  <si>
    <t>335.97</t>
  </si>
  <si>
    <t>04102</t>
  </si>
  <si>
    <t>Bhokar</t>
  </si>
  <si>
    <t>708.09</t>
  </si>
  <si>
    <t>04103</t>
  </si>
  <si>
    <t>Umri</t>
  </si>
  <si>
    <t>373.04</t>
  </si>
  <si>
    <t>04104</t>
  </si>
  <si>
    <t>Dharmabad</t>
  </si>
  <si>
    <t>339.09</t>
  </si>
  <si>
    <t>04105</t>
  </si>
  <si>
    <t>Biloli</t>
  </si>
  <si>
    <t>590.49</t>
  </si>
  <si>
    <t>04106</t>
  </si>
  <si>
    <t>Naigaon (Khairgaon)</t>
  </si>
  <si>
    <t>578.97</t>
  </si>
  <si>
    <t>04107</t>
  </si>
  <si>
    <t>Loha</t>
  </si>
  <si>
    <t>868.37</t>
  </si>
  <si>
    <t>04108</t>
  </si>
  <si>
    <t>Kandhar</t>
  </si>
  <si>
    <t>806.94</t>
  </si>
  <si>
    <t>04109</t>
  </si>
  <si>
    <t>Mukhed</t>
  </si>
  <si>
    <t>952.73</t>
  </si>
  <si>
    <t>04110</t>
  </si>
  <si>
    <t>Deglur</t>
  </si>
  <si>
    <t>690.21</t>
  </si>
  <si>
    <t>04111</t>
  </si>
  <si>
    <t>Sengaon</t>
  </si>
  <si>
    <t>1143.6300000000001</t>
  </si>
  <si>
    <t>04112</t>
  </si>
  <si>
    <t>Hingoli</t>
  </si>
  <si>
    <t>969.99</t>
  </si>
  <si>
    <t>04113</t>
  </si>
  <si>
    <t>Aundha (Nagnath)</t>
  </si>
  <si>
    <t>829.94</t>
  </si>
  <si>
    <t>04114</t>
  </si>
  <si>
    <t>Kalamnuri</t>
  </si>
  <si>
    <t>967.63</t>
  </si>
  <si>
    <t>04115</t>
  </si>
  <si>
    <t>Basmath</t>
  </si>
  <si>
    <t>915.81</t>
  </si>
  <si>
    <t>04116</t>
  </si>
  <si>
    <t>Sailu</t>
  </si>
  <si>
    <t>681.89</t>
  </si>
  <si>
    <t>04117</t>
  </si>
  <si>
    <t>Jintur</t>
  </si>
  <si>
    <t>1238.82</t>
  </si>
  <si>
    <t>04118</t>
  </si>
  <si>
    <t>Parbhani</t>
  </si>
  <si>
    <t>1131.4000000000001</t>
  </si>
  <si>
    <t>04119</t>
  </si>
  <si>
    <t>Manwath</t>
  </si>
  <si>
    <t>489.02</t>
  </si>
  <si>
    <t>04120</t>
  </si>
  <si>
    <t>Pathri</t>
  </si>
  <si>
    <t>546.79</t>
  </si>
  <si>
    <t>04121</t>
  </si>
  <si>
    <t>Sonpeth</t>
  </si>
  <si>
    <t>378.78</t>
  </si>
  <si>
    <t>04122</t>
  </si>
  <si>
    <t>Gangakhed</t>
  </si>
  <si>
    <t>625.24</t>
  </si>
  <si>
    <t>04123</t>
  </si>
  <si>
    <t>Palam</t>
  </si>
  <si>
    <t>510.61</t>
  </si>
  <si>
    <t>04124</t>
  </si>
  <si>
    <t>Purna</t>
  </si>
  <si>
    <t>611.45000000000005</t>
  </si>
  <si>
    <t>04125</t>
  </si>
  <si>
    <t>Bhokardan</t>
  </si>
  <si>
    <t>1177.42</t>
  </si>
  <si>
    <t>04126</t>
  </si>
  <si>
    <t>Jafferabad</t>
  </si>
  <si>
    <t>724.5</t>
  </si>
  <si>
    <t>04127</t>
  </si>
  <si>
    <t>Jalna</t>
  </si>
  <si>
    <t>1168.45</t>
  </si>
  <si>
    <t>04128</t>
  </si>
  <si>
    <t>Badnapur</t>
  </si>
  <si>
    <t>778.09</t>
  </si>
  <si>
    <t>04129</t>
  </si>
  <si>
    <t>Ambad</t>
  </si>
  <si>
    <t>1159.49</t>
  </si>
  <si>
    <t>04130</t>
  </si>
  <si>
    <t>Ghansawangi</t>
  </si>
  <si>
    <t>1118.94</t>
  </si>
  <si>
    <t>04131</t>
  </si>
  <si>
    <t>Partur</t>
  </si>
  <si>
    <t>737.67</t>
  </si>
  <si>
    <t>04132</t>
  </si>
  <si>
    <t>Mantha</t>
  </si>
  <si>
    <t>822.83</t>
  </si>
  <si>
    <t>04133</t>
  </si>
  <si>
    <t>Kannad</t>
  </si>
  <si>
    <t>1500.77</t>
  </si>
  <si>
    <t>04134</t>
  </si>
  <si>
    <t>Soegaon</t>
  </si>
  <si>
    <t>653.74</t>
  </si>
  <si>
    <t>04135</t>
  </si>
  <si>
    <t>Sillod</t>
  </si>
  <si>
    <t>1189.57</t>
  </si>
  <si>
    <t>04136</t>
  </si>
  <si>
    <t>Phulambri</t>
  </si>
  <si>
    <t>718.78</t>
  </si>
  <si>
    <t>04137</t>
  </si>
  <si>
    <t>1306.3800000000001</t>
  </si>
  <si>
    <t>04138</t>
  </si>
  <si>
    <t>Khuldabad</t>
  </si>
  <si>
    <t>511.89</t>
  </si>
  <si>
    <t>04139</t>
  </si>
  <si>
    <t>Vaijapur</t>
  </si>
  <si>
    <t>1531.48</t>
  </si>
  <si>
    <t>04140</t>
  </si>
  <si>
    <t>1299.3399999999999</t>
  </si>
  <si>
    <t>04141</t>
  </si>
  <si>
    <t>Paithan</t>
  </si>
  <si>
    <t>1425.66</t>
  </si>
  <si>
    <t>516</t>
  </si>
  <si>
    <t>04142</t>
  </si>
  <si>
    <t>Surgana</t>
  </si>
  <si>
    <t>820.65</t>
  </si>
  <si>
    <t>04143</t>
  </si>
  <si>
    <t>Kalwan</t>
  </si>
  <si>
    <t>04144</t>
  </si>
  <si>
    <t>Deola</t>
  </si>
  <si>
    <t>547.6</t>
  </si>
  <si>
    <t>04145</t>
  </si>
  <si>
    <t>Baglan</t>
  </si>
  <si>
    <t>1453.4</t>
  </si>
  <si>
    <t>04146</t>
  </si>
  <si>
    <t>1818.44</t>
  </si>
  <si>
    <t>04147</t>
  </si>
  <si>
    <t>Nandgaon</t>
  </si>
  <si>
    <t>1087.31</t>
  </si>
  <si>
    <t>04148</t>
  </si>
  <si>
    <t>Chandvad</t>
  </si>
  <si>
    <t>953.06</t>
  </si>
  <si>
    <t>04149</t>
  </si>
  <si>
    <t>Dindori</t>
  </si>
  <si>
    <t>1318.75</t>
  </si>
  <si>
    <t>04150</t>
  </si>
  <si>
    <t>Peint</t>
  </si>
  <si>
    <t>556.64</t>
  </si>
  <si>
    <t>04151</t>
  </si>
  <si>
    <t>Trimbakeshwar</t>
  </si>
  <si>
    <t>900.27</t>
  </si>
  <si>
    <t>04152</t>
  </si>
  <si>
    <t>Nashik</t>
  </si>
  <si>
    <t>891.42</t>
  </si>
  <si>
    <t>04153</t>
  </si>
  <si>
    <t>Igatpuri</t>
  </si>
  <si>
    <t>867.03</t>
  </si>
  <si>
    <t>04154</t>
  </si>
  <si>
    <t>Sinnar</t>
  </si>
  <si>
    <t>1343.79</t>
  </si>
  <si>
    <t>04155</t>
  </si>
  <si>
    <t>Niphad</t>
  </si>
  <si>
    <t>1048.6300000000001</t>
  </si>
  <si>
    <t>04156</t>
  </si>
  <si>
    <t>Yevla</t>
  </si>
  <si>
    <t>1059.01</t>
  </si>
  <si>
    <t>04157</t>
  </si>
  <si>
    <t>Talasari</t>
  </si>
  <si>
    <t>255.63</t>
  </si>
  <si>
    <t>04158</t>
  </si>
  <si>
    <t>Dahanu</t>
  </si>
  <si>
    <t>1012.88</t>
  </si>
  <si>
    <t>04159</t>
  </si>
  <si>
    <t>Vikramgad</t>
  </si>
  <si>
    <t>528.29</t>
  </si>
  <si>
    <t>04160</t>
  </si>
  <si>
    <t>Jawhar</t>
  </si>
  <si>
    <t>620.21</t>
  </si>
  <si>
    <t>04161</t>
  </si>
  <si>
    <t>Mokhada</t>
  </si>
  <si>
    <t>515.79</t>
  </si>
  <si>
    <t>04162</t>
  </si>
  <si>
    <t>Vada</t>
  </si>
  <si>
    <t>748.51</t>
  </si>
  <si>
    <t>04163</t>
  </si>
  <si>
    <t>Palghar</t>
  </si>
  <si>
    <t>1041.8499999999999</t>
  </si>
  <si>
    <t>04164</t>
  </si>
  <si>
    <t>Vasai</t>
  </si>
  <si>
    <t>544.38</t>
  </si>
  <si>
    <t>04165</t>
  </si>
  <si>
    <t>Thane</t>
  </si>
  <si>
    <t>400.04</t>
  </si>
  <si>
    <t>04166</t>
  </si>
  <si>
    <t>Bhiwandi</t>
  </si>
  <si>
    <t>698.72</t>
  </si>
  <si>
    <t>04167</t>
  </si>
  <si>
    <t>Shahapur</t>
  </si>
  <si>
    <t>1616.16</t>
  </si>
  <si>
    <t>04168</t>
  </si>
  <si>
    <t>Kalyan</t>
  </si>
  <si>
    <t>312.72000000000003</t>
  </si>
  <si>
    <t>04169</t>
  </si>
  <si>
    <t>Ulhasnagar</t>
  </si>
  <si>
    <t>04170</t>
  </si>
  <si>
    <t>Ambarnath</t>
  </si>
  <si>
    <t>328.12</t>
  </si>
  <si>
    <t>04171</t>
  </si>
  <si>
    <t>Murbad</t>
  </si>
  <si>
    <t>921.7</t>
  </si>
  <si>
    <t>05927</t>
  </si>
  <si>
    <t>Mumbai</t>
  </si>
  <si>
    <t>05926</t>
  </si>
  <si>
    <t>Mumbai Suburban</t>
  </si>
  <si>
    <t>04172</t>
  </si>
  <si>
    <t>Uran</t>
  </si>
  <si>
    <t>308.2</t>
  </si>
  <si>
    <t>04173</t>
  </si>
  <si>
    <t>Panvel</t>
  </si>
  <si>
    <t>612.80999999999995</t>
  </si>
  <si>
    <t>04174</t>
  </si>
  <si>
    <t>Karjat</t>
  </si>
  <si>
    <t>662.61</t>
  </si>
  <si>
    <t>04175</t>
  </si>
  <si>
    <t>Khalapur</t>
  </si>
  <si>
    <t>413.82</t>
  </si>
  <si>
    <t>04176</t>
  </si>
  <si>
    <t>Pen</t>
  </si>
  <si>
    <t>527.67999999999995</t>
  </si>
  <si>
    <t>04177</t>
  </si>
  <si>
    <t>Alibag</t>
  </si>
  <si>
    <t>510.21</t>
  </si>
  <si>
    <t>04178</t>
  </si>
  <si>
    <t>Murud</t>
  </si>
  <si>
    <t>249.27</t>
  </si>
  <si>
    <t>04179</t>
  </si>
  <si>
    <t>Roha</t>
  </si>
  <si>
    <t>656.98</t>
  </si>
  <si>
    <t>04180</t>
  </si>
  <si>
    <t>Sudhagad</t>
  </si>
  <si>
    <t>04181</t>
  </si>
  <si>
    <t>Mangaon</t>
  </si>
  <si>
    <t>704.87</t>
  </si>
  <si>
    <t>04182</t>
  </si>
  <si>
    <t>Tala</t>
  </si>
  <si>
    <t>247.26</t>
  </si>
  <si>
    <t>04183</t>
  </si>
  <si>
    <t>Shrivardhan</t>
  </si>
  <si>
    <t>252.48</t>
  </si>
  <si>
    <t>04184</t>
  </si>
  <si>
    <t>Mhasla</t>
  </si>
  <si>
    <t>329.32</t>
  </si>
  <si>
    <t>04185</t>
  </si>
  <si>
    <t>Mahad</t>
  </si>
  <si>
    <t>829.8</t>
  </si>
  <si>
    <t>04186</t>
  </si>
  <si>
    <t>Poladpur</t>
  </si>
  <si>
    <t>379.69</t>
  </si>
  <si>
    <t>521</t>
  </si>
  <si>
    <t>04187</t>
  </si>
  <si>
    <t>Junnar</t>
  </si>
  <si>
    <t>1383.32</t>
  </si>
  <si>
    <t>04188</t>
  </si>
  <si>
    <t>Ambegaon</t>
  </si>
  <si>
    <t>1039.3699999999999</t>
  </si>
  <si>
    <t>04189</t>
  </si>
  <si>
    <t>Shirur</t>
  </si>
  <si>
    <t>1560.26</t>
  </si>
  <si>
    <t>04190</t>
  </si>
  <si>
    <t>Khed</t>
  </si>
  <si>
    <t>1369.06</t>
  </si>
  <si>
    <t>04191</t>
  </si>
  <si>
    <t>Mawal</t>
  </si>
  <si>
    <t>1129.8</t>
  </si>
  <si>
    <t>04192</t>
  </si>
  <si>
    <t>Mulshi</t>
  </si>
  <si>
    <t>1029.2</t>
  </si>
  <si>
    <t>04193</t>
  </si>
  <si>
    <t>1163.55</t>
  </si>
  <si>
    <t>04194</t>
  </si>
  <si>
    <t>Pune City</t>
  </si>
  <si>
    <t>286.42</t>
  </si>
  <si>
    <t>04195</t>
  </si>
  <si>
    <t>Daund</t>
  </si>
  <si>
    <t>1307.8499999999999</t>
  </si>
  <si>
    <t>04196</t>
  </si>
  <si>
    <t>Purandhar</t>
  </si>
  <si>
    <t>1101.6500000000001</t>
  </si>
  <si>
    <t>04197</t>
  </si>
  <si>
    <t>Velhe</t>
  </si>
  <si>
    <t>569.13</t>
  </si>
  <si>
    <t>04198</t>
  </si>
  <si>
    <t>Bhor</t>
  </si>
  <si>
    <t>860.09</t>
  </si>
  <si>
    <t>04199</t>
  </si>
  <si>
    <t>Baramati</t>
  </si>
  <si>
    <t>1372.68</t>
  </si>
  <si>
    <t>04200</t>
  </si>
  <si>
    <t>Indapur</t>
  </si>
  <si>
    <t>1470.62</t>
  </si>
  <si>
    <t>04201</t>
  </si>
  <si>
    <t>1485.69</t>
  </si>
  <si>
    <t>04202</t>
  </si>
  <si>
    <t>Sangamner</t>
  </si>
  <si>
    <t>1691.81</t>
  </si>
  <si>
    <t>04203</t>
  </si>
  <si>
    <t>Kopargaon</t>
  </si>
  <si>
    <t>735.41</t>
  </si>
  <si>
    <t>04204</t>
  </si>
  <si>
    <t>Rahta</t>
  </si>
  <si>
    <t>649.72</t>
  </si>
  <si>
    <t>04205</t>
  </si>
  <si>
    <t>Shrirampur</t>
  </si>
  <si>
    <t>551.62</t>
  </si>
  <si>
    <t>04206</t>
  </si>
  <si>
    <t>Nevasa</t>
  </si>
  <si>
    <t>1286.6400000000001</t>
  </si>
  <si>
    <t>04207</t>
  </si>
  <si>
    <t>Shevgaon</t>
  </si>
  <si>
    <t>1080.97</t>
  </si>
  <si>
    <t>04208</t>
  </si>
  <si>
    <t>Pathardi</t>
  </si>
  <si>
    <t>1195.93</t>
  </si>
  <si>
    <t>04209</t>
  </si>
  <si>
    <t>1519.38</t>
  </si>
  <si>
    <t>04210</t>
  </si>
  <si>
    <t>Rahuri</t>
  </si>
  <si>
    <t>1017.49</t>
  </si>
  <si>
    <t>04211</t>
  </si>
  <si>
    <t>Parner</t>
  </si>
  <si>
    <t>1856.8</t>
  </si>
  <si>
    <t>04212</t>
  </si>
  <si>
    <t>Shrigonda</t>
  </si>
  <si>
    <t>1602.82</t>
  </si>
  <si>
    <t>04213</t>
  </si>
  <si>
    <t>1491.84</t>
  </si>
  <si>
    <t>04214</t>
  </si>
  <si>
    <t>Jamkhed</t>
  </si>
  <si>
    <t>881.88</t>
  </si>
  <si>
    <t>04215</t>
  </si>
  <si>
    <t>1473.81</t>
  </si>
  <si>
    <t>04216</t>
  </si>
  <si>
    <t>Patoda</t>
  </si>
  <si>
    <t>772.32</t>
  </si>
  <si>
    <t>04217</t>
  </si>
  <si>
    <t>Shirur (Kasar)</t>
  </si>
  <si>
    <t>699.08</t>
  </si>
  <si>
    <t>04218</t>
  </si>
  <si>
    <t>Georai</t>
  </si>
  <si>
    <t>1414.66</t>
  </si>
  <si>
    <t>04219</t>
  </si>
  <si>
    <t>Manjlegaon</t>
  </si>
  <si>
    <t>910.78</t>
  </si>
  <si>
    <t>04220</t>
  </si>
  <si>
    <t>Wadwani</t>
  </si>
  <si>
    <t>450.74</t>
  </si>
  <si>
    <t>04221</t>
  </si>
  <si>
    <t>Bid</t>
  </si>
  <si>
    <t>1550.37</t>
  </si>
  <si>
    <t>04222</t>
  </si>
  <si>
    <t>Kaij</t>
  </si>
  <si>
    <t>1156.58</t>
  </si>
  <si>
    <t>04223</t>
  </si>
  <si>
    <t>Dharur</t>
  </si>
  <si>
    <t>587.39</t>
  </si>
  <si>
    <t>04224</t>
  </si>
  <si>
    <t>Parli</t>
  </si>
  <si>
    <t>815.74</t>
  </si>
  <si>
    <t>04225</t>
  </si>
  <si>
    <t>Ambejogai</t>
  </si>
  <si>
    <t>524</t>
  </si>
  <si>
    <t>04226</t>
  </si>
  <si>
    <t>Latur</t>
  </si>
  <si>
    <t>1008.98</t>
  </si>
  <si>
    <t>04227</t>
  </si>
  <si>
    <t>Renapur</t>
  </si>
  <si>
    <t>557.91</t>
  </si>
  <si>
    <t>04228</t>
  </si>
  <si>
    <t>Ahmadpur</t>
  </si>
  <si>
    <t>773.91</t>
  </si>
  <si>
    <t>04229</t>
  </si>
  <si>
    <t>Jalkot</t>
  </si>
  <si>
    <t>360.77</t>
  </si>
  <si>
    <t>04230</t>
  </si>
  <si>
    <t>Chakur</t>
  </si>
  <si>
    <t>683.76</t>
  </si>
  <si>
    <t>04231</t>
  </si>
  <si>
    <t>Shirur-Anantpal</t>
  </si>
  <si>
    <t>320.12</t>
  </si>
  <si>
    <t>04232</t>
  </si>
  <si>
    <t>Ausa</t>
  </si>
  <si>
    <t>1220.05</t>
  </si>
  <si>
    <t>04233</t>
  </si>
  <si>
    <t>Nilanga</t>
  </si>
  <si>
    <t>1079.92</t>
  </si>
  <si>
    <t>04234</t>
  </si>
  <si>
    <t>Deoni</t>
  </si>
  <si>
    <t>415.32</t>
  </si>
  <si>
    <t>04235</t>
  </si>
  <si>
    <t>Udgir</t>
  </si>
  <si>
    <t>736.26</t>
  </si>
  <si>
    <t>04236</t>
  </si>
  <si>
    <t>Paranda</t>
  </si>
  <si>
    <t>833.67</t>
  </si>
  <si>
    <t>04237</t>
  </si>
  <si>
    <t>Bhum</t>
  </si>
  <si>
    <t>815.59</t>
  </si>
  <si>
    <t>04238</t>
  </si>
  <si>
    <t>Washi</t>
  </si>
  <si>
    <t>567.78</t>
  </si>
  <si>
    <t>04239</t>
  </si>
  <si>
    <t>957.05</t>
  </si>
  <si>
    <t>04240</t>
  </si>
  <si>
    <t>Osmanabad</t>
  </si>
  <si>
    <t>1347.22</t>
  </si>
  <si>
    <t>04241</t>
  </si>
  <si>
    <t>Tuljapur</t>
  </si>
  <si>
    <t>1501.24</t>
  </si>
  <si>
    <t>04242</t>
  </si>
  <si>
    <t>Lohara</t>
  </si>
  <si>
    <t>562.86</t>
  </si>
  <si>
    <t>04243</t>
  </si>
  <si>
    <t>Umarga</t>
  </si>
  <si>
    <t>983.59</t>
  </si>
  <si>
    <t>526</t>
  </si>
  <si>
    <t>04244</t>
  </si>
  <si>
    <t>Karmala</t>
  </si>
  <si>
    <t>1593.01</t>
  </si>
  <si>
    <t>04245</t>
  </si>
  <si>
    <t>Madha</t>
  </si>
  <si>
    <t>1523.86</t>
  </si>
  <si>
    <t>04246</t>
  </si>
  <si>
    <t>Barshi</t>
  </si>
  <si>
    <t>1541.64</t>
  </si>
  <si>
    <t>04247</t>
  </si>
  <si>
    <t>Solapur North</t>
  </si>
  <si>
    <t>695.42</t>
  </si>
  <si>
    <t>04248</t>
  </si>
  <si>
    <t>Mohol</t>
  </si>
  <si>
    <t>1324.7</t>
  </si>
  <si>
    <t>04249</t>
  </si>
  <si>
    <t>Pandharpur</t>
  </si>
  <si>
    <t>1292.8</t>
  </si>
  <si>
    <t>04250</t>
  </si>
  <si>
    <t>Malshiras</t>
  </si>
  <si>
    <t>1607.98</t>
  </si>
  <si>
    <t>04251</t>
  </si>
  <si>
    <t>Sangole</t>
  </si>
  <si>
    <t>1567.13</t>
  </si>
  <si>
    <t>04252</t>
  </si>
  <si>
    <t>Mangalvedhe</t>
  </si>
  <si>
    <t>1144.92</t>
  </si>
  <si>
    <t>04253</t>
  </si>
  <si>
    <t>Solapur South</t>
  </si>
  <si>
    <t>04254</t>
  </si>
  <si>
    <t>Akkalkot</t>
  </si>
  <si>
    <t>1413.97</t>
  </si>
  <si>
    <t>04255</t>
  </si>
  <si>
    <t>Mahabaleshwar</t>
  </si>
  <si>
    <t>470.36</t>
  </si>
  <si>
    <t>04256</t>
  </si>
  <si>
    <t>Wai</t>
  </si>
  <si>
    <t>624.13</t>
  </si>
  <si>
    <t>04257</t>
  </si>
  <si>
    <t>Khandala</t>
  </si>
  <si>
    <t>522.91</t>
  </si>
  <si>
    <t>04258</t>
  </si>
  <si>
    <t>Phaltan</t>
  </si>
  <si>
    <t>1171.79</t>
  </si>
  <si>
    <t>04259</t>
  </si>
  <si>
    <t>Man</t>
  </si>
  <si>
    <t>1482.61</t>
  </si>
  <si>
    <t>04260</t>
  </si>
  <si>
    <t>Khatav</t>
  </si>
  <si>
    <t>1364.38</t>
  </si>
  <si>
    <t>04261</t>
  </si>
  <si>
    <t>Koregaon</t>
  </si>
  <si>
    <t>912.07</t>
  </si>
  <si>
    <t>04262</t>
  </si>
  <si>
    <t>Satara</t>
  </si>
  <si>
    <t>910.69</t>
  </si>
  <si>
    <t>04263</t>
  </si>
  <si>
    <t>Jaoli</t>
  </si>
  <si>
    <t>596.42999999999995</t>
  </si>
  <si>
    <t>04264</t>
  </si>
  <si>
    <t>1385.82</t>
  </si>
  <si>
    <t>04265</t>
  </si>
  <si>
    <t>Karad</t>
  </si>
  <si>
    <t>1038.81</t>
  </si>
  <si>
    <t>528</t>
  </si>
  <si>
    <t>04266</t>
  </si>
  <si>
    <t>Mandangad</t>
  </si>
  <si>
    <t>425.92</t>
  </si>
  <si>
    <t>04267</t>
  </si>
  <si>
    <t>Dapoli</t>
  </si>
  <si>
    <t>865.69</t>
  </si>
  <si>
    <t>04268</t>
  </si>
  <si>
    <t>1025.8</t>
  </si>
  <si>
    <t>04269</t>
  </si>
  <si>
    <t>Chiplun</t>
  </si>
  <si>
    <t>1112.8399999999999</t>
  </si>
  <si>
    <t>04270</t>
  </si>
  <si>
    <t>Guhagar</t>
  </si>
  <si>
    <t>631.85</t>
  </si>
  <si>
    <t>04271</t>
  </si>
  <si>
    <t>Ratnagiri</t>
  </si>
  <si>
    <t>941.28</t>
  </si>
  <si>
    <t>04272</t>
  </si>
  <si>
    <t>Sangameshwar</t>
  </si>
  <si>
    <t>1256.93</t>
  </si>
  <si>
    <t>04273</t>
  </si>
  <si>
    <t>Lanja</t>
  </si>
  <si>
    <t>746.75</t>
  </si>
  <si>
    <t>04274</t>
  </si>
  <si>
    <t>Rajapur</t>
  </si>
  <si>
    <t>1200.94</t>
  </si>
  <si>
    <t>529</t>
  </si>
  <si>
    <t>04275</t>
  </si>
  <si>
    <t>Devgad</t>
  </si>
  <si>
    <t>808.15</t>
  </si>
  <si>
    <t>04276</t>
  </si>
  <si>
    <t>Vaibhavvadi</t>
  </si>
  <si>
    <t>432.72</t>
  </si>
  <si>
    <t>04277</t>
  </si>
  <si>
    <t>Kankavli</t>
  </si>
  <si>
    <t>04278</t>
  </si>
  <si>
    <t>Malwan</t>
  </si>
  <si>
    <t>639.41999999999996</t>
  </si>
  <si>
    <t>04279</t>
  </si>
  <si>
    <t>Vengurla</t>
  </si>
  <si>
    <t>302.02999999999997</t>
  </si>
  <si>
    <t>04280</t>
  </si>
  <si>
    <t>Kudal</t>
  </si>
  <si>
    <t>844.69</t>
  </si>
  <si>
    <t>04281</t>
  </si>
  <si>
    <t>Sawantwadi</t>
  </si>
  <si>
    <t>895.89</t>
  </si>
  <si>
    <t>04282</t>
  </si>
  <si>
    <t>Dodamarg</t>
  </si>
  <si>
    <t>500.1</t>
  </si>
  <si>
    <t>530</t>
  </si>
  <si>
    <t>04283</t>
  </si>
  <si>
    <t>Shahuwadi</t>
  </si>
  <si>
    <t>1025.27</t>
  </si>
  <si>
    <t>04284</t>
  </si>
  <si>
    <t>Panhala</t>
  </si>
  <si>
    <t>566.66999999999996</t>
  </si>
  <si>
    <t>04285</t>
  </si>
  <si>
    <t>Hatkanangle</t>
  </si>
  <si>
    <t>612.57000000000005</t>
  </si>
  <si>
    <t>04286</t>
  </si>
  <si>
    <t>Shirol</t>
  </si>
  <si>
    <t>503.39</t>
  </si>
  <si>
    <t>04287</t>
  </si>
  <si>
    <t>Karvir</t>
  </si>
  <si>
    <t>664.65</t>
  </si>
  <si>
    <t>04288</t>
  </si>
  <si>
    <t>Bavda</t>
  </si>
  <si>
    <t>278.02</t>
  </si>
  <si>
    <t>04289</t>
  </si>
  <si>
    <t>Radhanagari</t>
  </si>
  <si>
    <t>880.75</t>
  </si>
  <si>
    <t>04290</t>
  </si>
  <si>
    <t>Kagal</t>
  </si>
  <si>
    <t>545.23</t>
  </si>
  <si>
    <t>04291</t>
  </si>
  <si>
    <t>Bhudargad</t>
  </si>
  <si>
    <t>635.63</t>
  </si>
  <si>
    <t>04292</t>
  </si>
  <si>
    <t>Ajra</t>
  </si>
  <si>
    <t>543.96</t>
  </si>
  <si>
    <t>04293</t>
  </si>
  <si>
    <t>Gadhinglaj</t>
  </si>
  <si>
    <t>472.38</t>
  </si>
  <si>
    <t>04294</t>
  </si>
  <si>
    <t>Chandgad</t>
  </si>
  <si>
    <t>956.48</t>
  </si>
  <si>
    <t>04295</t>
  </si>
  <si>
    <t>Shirala</t>
  </si>
  <si>
    <t>625.66999999999996</t>
  </si>
  <si>
    <t>04296</t>
  </si>
  <si>
    <t>Walwa</t>
  </si>
  <si>
    <t>776.07</t>
  </si>
  <si>
    <t>04297</t>
  </si>
  <si>
    <t>Palus</t>
  </si>
  <si>
    <t>297.33999999999997</t>
  </si>
  <si>
    <t>04298</t>
  </si>
  <si>
    <t>Kadegaon</t>
  </si>
  <si>
    <t>575.67999999999995</t>
  </si>
  <si>
    <t>04299</t>
  </si>
  <si>
    <t>Khanapur (Vita)</t>
  </si>
  <si>
    <t>731.69</t>
  </si>
  <si>
    <t>04300</t>
  </si>
  <si>
    <t>Atpadi</t>
  </si>
  <si>
    <t>863.56</t>
  </si>
  <si>
    <t>04301</t>
  </si>
  <si>
    <t>Tasgaon</t>
  </si>
  <si>
    <t>819.74</t>
  </si>
  <si>
    <t>04302</t>
  </si>
  <si>
    <t>Miraj</t>
  </si>
  <si>
    <t>918.19</t>
  </si>
  <si>
    <t>04303</t>
  </si>
  <si>
    <t>Kavathemahankal</t>
  </si>
  <si>
    <t>724.29</t>
  </si>
  <si>
    <t>04304</t>
  </si>
  <si>
    <t>Jat</t>
  </si>
  <si>
    <t>2239.77</t>
  </si>
  <si>
    <t>04305</t>
  </si>
  <si>
    <t>Tamsi</t>
  </si>
  <si>
    <t>278.67740321390772</t>
  </si>
  <si>
    <t>04306</t>
  </si>
  <si>
    <t>Adilabad</t>
  </si>
  <si>
    <t>350.27354780767877</t>
  </si>
  <si>
    <t>04307</t>
  </si>
  <si>
    <t>Jainad</t>
  </si>
  <si>
    <t>283.85340154601147</t>
  </si>
  <si>
    <t>04308</t>
  </si>
  <si>
    <t>Bela</t>
  </si>
  <si>
    <t>279.93782596144592</t>
  </si>
  <si>
    <t>04309</t>
  </si>
  <si>
    <t>Talamadugu</t>
  </si>
  <si>
    <t>287.95494114250891</t>
  </si>
  <si>
    <t>04310</t>
  </si>
  <si>
    <t>Gudihathnoor</t>
  </si>
  <si>
    <t>150.55853032684351</t>
  </si>
  <si>
    <t>04311</t>
  </si>
  <si>
    <t>Inderavelly</t>
  </si>
  <si>
    <t>211.52373223850915</t>
  </si>
  <si>
    <t>04312</t>
  </si>
  <si>
    <t>Narnoor</t>
  </si>
  <si>
    <t>450.76643358886361</t>
  </si>
  <si>
    <t>04313</t>
  </si>
  <si>
    <t>Kerameri</t>
  </si>
  <si>
    <t>363.51831799082657</t>
  </si>
  <si>
    <t>04314</t>
  </si>
  <si>
    <t>Wankdi</t>
  </si>
  <si>
    <t>360.03665843410209</t>
  </si>
  <si>
    <t>04315</t>
  </si>
  <si>
    <t>Sirpur (T)</t>
  </si>
  <si>
    <t>321.20117394232926</t>
  </si>
  <si>
    <t>04316</t>
  </si>
  <si>
    <t>Kouthala</t>
  </si>
  <si>
    <t>301.91257337139558</t>
  </si>
  <si>
    <t>04317</t>
  </si>
  <si>
    <t>Bejjur</t>
  </si>
  <si>
    <t>645.01617538570099</t>
  </si>
  <si>
    <t>04318</t>
  </si>
  <si>
    <t>Kagaznagar</t>
  </si>
  <si>
    <t>455.33288321519069</t>
  </si>
  <si>
    <t>04319</t>
  </si>
  <si>
    <t>Asifabad</t>
  </si>
  <si>
    <t>334.14633543958689</t>
  </si>
  <si>
    <t>04320</t>
  </si>
  <si>
    <t>Jainoor</t>
  </si>
  <si>
    <t>228.2501619783815</t>
  </si>
  <si>
    <t>04321</t>
  </si>
  <si>
    <t>Utnoor</t>
  </si>
  <si>
    <t>550.46380665233983</t>
  </si>
  <si>
    <t>04322</t>
  </si>
  <si>
    <t>Ichoda</t>
  </si>
  <si>
    <t>293.26524681656349</t>
  </si>
  <si>
    <t>04323</t>
  </si>
  <si>
    <t>Bazarhathnoor</t>
  </si>
  <si>
    <t>231.68016486512494</t>
  </si>
  <si>
    <t>04324</t>
  </si>
  <si>
    <t>Boath</t>
  </si>
  <si>
    <t>334.50793212945439</t>
  </si>
  <si>
    <t>04325</t>
  </si>
  <si>
    <t>Neradigonda</t>
  </si>
  <si>
    <t>320.93255925842766</t>
  </si>
  <si>
    <t>04326</t>
  </si>
  <si>
    <t>Sirpur</t>
  </si>
  <si>
    <t>310.21896590435256</t>
  </si>
  <si>
    <t>04327</t>
  </si>
  <si>
    <t>Rebbana</t>
  </si>
  <si>
    <t>267.87082785386661</t>
  </si>
  <si>
    <t>04328</t>
  </si>
  <si>
    <t>Bhimini</t>
  </si>
  <si>
    <t>225.61567180934662</t>
  </si>
  <si>
    <t>04329</t>
  </si>
  <si>
    <t>Dahegaon</t>
  </si>
  <si>
    <t>356.87527023126023</t>
  </si>
  <si>
    <t>04330</t>
  </si>
  <si>
    <t>Vemanpalle</t>
  </si>
  <si>
    <t>279.47291593161623</t>
  </si>
  <si>
    <t>04331</t>
  </si>
  <si>
    <t>Nennal</t>
  </si>
  <si>
    <t>255.61786573435543</t>
  </si>
  <si>
    <t>04332</t>
  </si>
  <si>
    <t>Tandur</t>
  </si>
  <si>
    <t>181.45955030952302</t>
  </si>
  <si>
    <t>04333</t>
  </si>
  <si>
    <t>Tiryani</t>
  </si>
  <si>
    <t>549.75094460660102</t>
  </si>
  <si>
    <t>04334</t>
  </si>
  <si>
    <t>Jannaram</t>
  </si>
  <si>
    <t>396.05168874490812</t>
  </si>
  <si>
    <t>04335</t>
  </si>
  <si>
    <t>Kaddam (Peddur)</t>
  </si>
  <si>
    <t>654.75862334413193</t>
  </si>
  <si>
    <t>04336</t>
  </si>
  <si>
    <t>Sarangapur</t>
  </si>
  <si>
    <t>256.99193315585205</t>
  </si>
  <si>
    <t>04337</t>
  </si>
  <si>
    <t>Kuntala</t>
  </si>
  <si>
    <t>206.84363793822371</t>
  </si>
  <si>
    <t>04338</t>
  </si>
  <si>
    <t>Kubeer</t>
  </si>
  <si>
    <t>292.55238477082469</t>
  </si>
  <si>
    <t>04339</t>
  </si>
  <si>
    <t>Bhainsa</t>
  </si>
  <si>
    <t>222.54726561247074</t>
  </si>
  <si>
    <t>04340</t>
  </si>
  <si>
    <t>Tanoor</t>
  </si>
  <si>
    <t>220.398348141258</t>
  </si>
  <si>
    <t>04341</t>
  </si>
  <si>
    <t>Mudhole</t>
  </si>
  <si>
    <t>289.21536389004717</t>
  </si>
  <si>
    <t>04342</t>
  </si>
  <si>
    <t>Lokeswaram</t>
  </si>
  <si>
    <t>221.45214420887191</t>
  </si>
  <si>
    <t>04343</t>
  </si>
  <si>
    <t>Dilawarpur</t>
  </si>
  <si>
    <t>214.3441864194759</t>
  </si>
  <si>
    <t>04344</t>
  </si>
  <si>
    <t>Nirmal</t>
  </si>
  <si>
    <t>217.84650864419285</t>
  </si>
  <si>
    <t>04345</t>
  </si>
  <si>
    <t>Laxmanchanda</t>
  </si>
  <si>
    <t>118.56238894056517</t>
  </si>
  <si>
    <t>04346</t>
  </si>
  <si>
    <t>Mamda</t>
  </si>
  <si>
    <t>303.1523334509414</t>
  </si>
  <si>
    <t>04347</t>
  </si>
  <si>
    <t>Khanapur</t>
  </si>
  <si>
    <t>506.79325785033842</t>
  </si>
  <si>
    <t>04348</t>
  </si>
  <si>
    <t>Dandepalle</t>
  </si>
  <si>
    <t>169.96077557173555</t>
  </si>
  <si>
    <t>04349</t>
  </si>
  <si>
    <t>Kasipet</t>
  </si>
  <si>
    <t>308.62794046893544</t>
  </si>
  <si>
    <t>04350</t>
  </si>
  <si>
    <t>Bellampalle</t>
  </si>
  <si>
    <t>148.85386021746802</t>
  </si>
  <si>
    <t>04351</t>
  </si>
  <si>
    <t>Kotapalle</t>
  </si>
  <si>
    <t>447.7806780639574</t>
  </si>
  <si>
    <t>04352</t>
  </si>
  <si>
    <t>Mandamarri</t>
  </si>
  <si>
    <t>157.97642813612597</t>
  </si>
  <si>
    <t>04353</t>
  </si>
  <si>
    <t>Luxettipet</t>
  </si>
  <si>
    <t>144.35972992911439</t>
  </si>
  <si>
    <t>04354</t>
  </si>
  <si>
    <t>Mancherial</t>
  </si>
  <si>
    <t>342.78333066042279</t>
  </si>
  <si>
    <t>04355</t>
  </si>
  <si>
    <t>409.81302562786669</t>
  </si>
  <si>
    <t>04356</t>
  </si>
  <si>
    <t>Chennur</t>
  </si>
  <si>
    <t>392.64234852615709</t>
  </si>
  <si>
    <t>04357</t>
  </si>
  <si>
    <t>Ranjal</t>
  </si>
  <si>
    <t>115.68342719227675</t>
  </si>
  <si>
    <t>04358</t>
  </si>
  <si>
    <t>Navipet</t>
  </si>
  <si>
    <t>237.23411102172165</t>
  </si>
  <si>
    <t>04359</t>
  </si>
  <si>
    <t>Nandipet</t>
  </si>
  <si>
    <t>303.30229283990349</t>
  </si>
  <si>
    <t>04360</t>
  </si>
  <si>
    <t>Armur</t>
  </si>
  <si>
    <t>219.10921158487531</t>
  </si>
  <si>
    <t>04361</t>
  </si>
  <si>
    <t>Balkonda</t>
  </si>
  <si>
    <t>196.34794851166532</t>
  </si>
  <si>
    <t>04362</t>
  </si>
  <si>
    <t>Mortad</t>
  </si>
  <si>
    <t>213.29324215607403</t>
  </si>
  <si>
    <t>04363</t>
  </si>
  <si>
    <t>Kammarpalle</t>
  </si>
  <si>
    <t>236.72123893805312</t>
  </si>
  <si>
    <t>04364</t>
  </si>
  <si>
    <t>Bheemgal</t>
  </si>
  <si>
    <t>215.5498793242156</t>
  </si>
  <si>
    <t>04365</t>
  </si>
  <si>
    <t>Velpur</t>
  </si>
  <si>
    <t>120.92497988736928</t>
  </si>
  <si>
    <t>04366</t>
  </si>
  <si>
    <t>Jakranpalle</t>
  </si>
  <si>
    <t>143.91190667739343</t>
  </si>
  <si>
    <t>04367</t>
  </si>
  <si>
    <t>Makloor</t>
  </si>
  <si>
    <t>226.53559935639581</t>
  </si>
  <si>
    <t>04368</t>
  </si>
  <si>
    <t>384.01810136765891</t>
  </si>
  <si>
    <t>04369</t>
  </si>
  <si>
    <t>Yedpalle</t>
  </si>
  <si>
    <t>90.542437650844732</t>
  </si>
  <si>
    <t>04370</t>
  </si>
  <si>
    <t>Bodhan</t>
  </si>
  <si>
    <t>281.00261464199519</t>
  </si>
  <si>
    <t>04371</t>
  </si>
  <si>
    <t>Kotgiri</t>
  </si>
  <si>
    <t>172.42759452936446</t>
  </si>
  <si>
    <t>04372</t>
  </si>
  <si>
    <t>Madnoor</t>
  </si>
  <si>
    <t>235.11082059533388</t>
  </si>
  <si>
    <t>04373</t>
  </si>
  <si>
    <t>Jukkal</t>
  </si>
  <si>
    <t>208.01065969428802</t>
  </si>
  <si>
    <t>04374</t>
  </si>
  <si>
    <t>Bichkunda</t>
  </si>
  <si>
    <t>265.88314561544649</t>
  </si>
  <si>
    <t>04375</t>
  </si>
  <si>
    <t>Birkoor</t>
  </si>
  <si>
    <t>168.08869670152856</t>
  </si>
  <si>
    <t>04376</t>
  </si>
  <si>
    <t>Varni</t>
  </si>
  <si>
    <t>248.67115848753019</t>
  </si>
  <si>
    <t>04377</t>
  </si>
  <si>
    <t>Dichpalle</t>
  </si>
  <si>
    <t>233.74658085277554</t>
  </si>
  <si>
    <t>04378</t>
  </si>
  <si>
    <t>Dharpalle</t>
  </si>
  <si>
    <t>306.3384955752212</t>
  </si>
  <si>
    <t>04379</t>
  </si>
  <si>
    <t>Sirkonda</t>
  </si>
  <si>
    <t>349.30691874497188</t>
  </si>
  <si>
    <t>04380</t>
  </si>
  <si>
    <t>Machareddy</t>
  </si>
  <si>
    <t>313.68282381335479</t>
  </si>
  <si>
    <t>04381</t>
  </si>
  <si>
    <t>Sadasivanagar</t>
  </si>
  <si>
    <t>235.57240547063557</t>
  </si>
  <si>
    <t>04382</t>
  </si>
  <si>
    <t>Gandhari</t>
  </si>
  <si>
    <t>377.37127916331457</t>
  </si>
  <si>
    <t>04383</t>
  </si>
  <si>
    <t>Banswada</t>
  </si>
  <si>
    <t>135.27514078841511</t>
  </si>
  <si>
    <t>04384</t>
  </si>
  <si>
    <t>Pitlam</t>
  </si>
  <si>
    <t>169.55551086082062</t>
  </si>
  <si>
    <t>04385</t>
  </si>
  <si>
    <t>Nizamsagar</t>
  </si>
  <si>
    <t>287.93664521319386</t>
  </si>
  <si>
    <t>04386</t>
  </si>
  <si>
    <t>Yellareddy</t>
  </si>
  <si>
    <t>157.5850764279968</t>
  </si>
  <si>
    <t>04387</t>
  </si>
  <si>
    <t>Nagareddipet</t>
  </si>
  <si>
    <t>122.49436846339502</t>
  </si>
  <si>
    <t>04388</t>
  </si>
  <si>
    <t>Lingampet</t>
  </si>
  <si>
    <t>258.86705551086084</t>
  </si>
  <si>
    <t>04389</t>
  </si>
  <si>
    <t>Tadwai</t>
  </si>
  <si>
    <t>262.30329847144009</t>
  </si>
  <si>
    <t>04390</t>
  </si>
  <si>
    <t>Kamareddy</t>
  </si>
  <si>
    <t>115.0372083668544</t>
  </si>
  <si>
    <t>04391</t>
  </si>
  <si>
    <t>Bhiknoor</t>
  </si>
  <si>
    <t>204.83085277554304</t>
  </si>
  <si>
    <t>04392</t>
  </si>
  <si>
    <t>Domakonda</t>
  </si>
  <si>
    <t>143.72727272727275</t>
  </si>
  <si>
    <t>04393</t>
  </si>
  <si>
    <t>Ibrahimpatnam</t>
  </si>
  <si>
    <t>160.69187195121953</t>
  </si>
  <si>
    <t>04394</t>
  </si>
  <si>
    <t>Mallapur</t>
  </si>
  <si>
    <t>241.80506707317073</t>
  </si>
  <si>
    <t>04395</t>
  </si>
  <si>
    <t>Raikal</t>
  </si>
  <si>
    <t>245.75979878048781</t>
  </si>
  <si>
    <t>04396</t>
  </si>
  <si>
    <t>255.85260365853659</t>
  </si>
  <si>
    <t>04397</t>
  </si>
  <si>
    <t>Dharmapuri</t>
  </si>
  <si>
    <t>276.30598170731707</t>
  </si>
  <si>
    <t>04398</t>
  </si>
  <si>
    <t>Velgatoor</t>
  </si>
  <si>
    <t>195.01770731707319</t>
  </si>
  <si>
    <t>04399</t>
  </si>
  <si>
    <t>Ramagundam</t>
  </si>
  <si>
    <t>329.78754878048784</t>
  </si>
  <si>
    <t>04400</t>
  </si>
  <si>
    <t>Kamanpur</t>
  </si>
  <si>
    <t>231.05314024390242</t>
  </si>
  <si>
    <t>04401</t>
  </si>
  <si>
    <t>Manthani</t>
  </si>
  <si>
    <t>298.75732317073169</t>
  </si>
  <si>
    <t>04402</t>
  </si>
  <si>
    <t>Kataram</t>
  </si>
  <si>
    <t>263.02055487804876</t>
  </si>
  <si>
    <t>04403</t>
  </si>
  <si>
    <t>Mahadevpur</t>
  </si>
  <si>
    <t>579.58446951219514</t>
  </si>
  <si>
    <t>04404</t>
  </si>
  <si>
    <t>Mutharam (Mahadevpur)</t>
  </si>
  <si>
    <t>580.53195731707319</t>
  </si>
  <si>
    <t>04405</t>
  </si>
  <si>
    <t>Malharrao</t>
  </si>
  <si>
    <t>348.45923780487806</t>
  </si>
  <si>
    <t>04406</t>
  </si>
  <si>
    <t>Mutharam (Manthani)</t>
  </si>
  <si>
    <t>140.06341463414634</t>
  </si>
  <si>
    <t>04407</t>
  </si>
  <si>
    <t>Srirampur</t>
  </si>
  <si>
    <t>207.77789634146342</t>
  </si>
  <si>
    <t>04408</t>
  </si>
  <si>
    <t>Peddapalle</t>
  </si>
  <si>
    <t>244.97709146341464</t>
  </si>
  <si>
    <t>04409</t>
  </si>
  <si>
    <t>Julapalle</t>
  </si>
  <si>
    <t>81.257378048780495</t>
  </si>
  <si>
    <t>04410</t>
  </si>
  <si>
    <t>Elgaid</t>
  </si>
  <si>
    <t>88.445926829268288</t>
  </si>
  <si>
    <t>04411</t>
  </si>
  <si>
    <t>Dharmaram</t>
  </si>
  <si>
    <t>209.00345121951219</t>
  </si>
  <si>
    <t>04412</t>
  </si>
  <si>
    <t>Gollapalle</t>
  </si>
  <si>
    <t>145.67624999999998</t>
  </si>
  <si>
    <t>04413</t>
  </si>
  <si>
    <t>Mallial</t>
  </si>
  <si>
    <t>158.3540487804878</t>
  </si>
  <si>
    <t>04414</t>
  </si>
  <si>
    <t>Jagtial</t>
  </si>
  <si>
    <t>210.45557926829267</t>
  </si>
  <si>
    <t>04415</t>
  </si>
  <si>
    <t>Medipalle</t>
  </si>
  <si>
    <t>195.42965853658535</t>
  </si>
  <si>
    <t>04416</t>
  </si>
  <si>
    <t>Koratla</t>
  </si>
  <si>
    <t>132.5865</t>
  </si>
  <si>
    <t>04417</t>
  </si>
  <si>
    <t>Metpalle</t>
  </si>
  <si>
    <t>149.43530487804878</t>
  </si>
  <si>
    <t>04418</t>
  </si>
  <si>
    <t>Kathlapur</t>
  </si>
  <si>
    <t>185.9959756097561</t>
  </si>
  <si>
    <t>04419</t>
  </si>
  <si>
    <t>Chandurthi</t>
  </si>
  <si>
    <t>196.18146951219512</t>
  </si>
  <si>
    <t>04420</t>
  </si>
  <si>
    <t>Kodimial</t>
  </si>
  <si>
    <t>163.11208536585366</t>
  </si>
  <si>
    <t>04421</t>
  </si>
  <si>
    <t>Pegadapalle</t>
  </si>
  <si>
    <t>136.42794512195121</t>
  </si>
  <si>
    <t>04422</t>
  </si>
  <si>
    <t>Gangadhara</t>
  </si>
  <si>
    <t>160.57858536585366</t>
  </si>
  <si>
    <t>04423</t>
  </si>
  <si>
    <t>Ramadugu</t>
  </si>
  <si>
    <t>135.18179268292681</t>
  </si>
  <si>
    <t>04424</t>
  </si>
  <si>
    <t>Choppadandi</t>
  </si>
  <si>
    <t>138.41560975609758</t>
  </si>
  <si>
    <t>04425</t>
  </si>
  <si>
    <t>Sultanabad</t>
  </si>
  <si>
    <t>163.8432987804878</t>
  </si>
  <si>
    <t>04426</t>
  </si>
  <si>
    <t>Odela</t>
  </si>
  <si>
    <t>144.90384146341464</t>
  </si>
  <si>
    <t>04427</t>
  </si>
  <si>
    <t>Manakondur</t>
  </si>
  <si>
    <t>192.04135975609756</t>
  </si>
  <si>
    <t>04428</t>
  </si>
  <si>
    <t>Karimnagar</t>
  </si>
  <si>
    <t>241.20773780487806</t>
  </si>
  <si>
    <t>04429</t>
  </si>
  <si>
    <t>Boinpalle</t>
  </si>
  <si>
    <t>135.5731463414634</t>
  </si>
  <si>
    <t>04430</t>
  </si>
  <si>
    <t>Vemulawada</t>
  </si>
  <si>
    <t>191.35134146341466</t>
  </si>
  <si>
    <t>04431</t>
  </si>
  <si>
    <t>Konaraopeta</t>
  </si>
  <si>
    <t>188.50887804878047</t>
  </si>
  <si>
    <t>04432</t>
  </si>
  <si>
    <t>Yellareddipet</t>
  </si>
  <si>
    <t>297.32579268292682</t>
  </si>
  <si>
    <t>04433</t>
  </si>
  <si>
    <t>Gambhiraopet</t>
  </si>
  <si>
    <t>178.13800609756098</t>
  </si>
  <si>
    <t>04434</t>
  </si>
  <si>
    <t>Mustabad</t>
  </si>
  <si>
    <t>164.68779878048781</t>
  </si>
  <si>
    <t>04435</t>
  </si>
  <si>
    <t>Sircilla</t>
  </si>
  <si>
    <t>227.19109756097561</t>
  </si>
  <si>
    <t>04436</t>
  </si>
  <si>
    <t>Ellanthakunta</t>
  </si>
  <si>
    <t>259.44687804878049</t>
  </si>
  <si>
    <t>04437</t>
  </si>
  <si>
    <t>Bejjanki</t>
  </si>
  <si>
    <t>244.59603658536585</t>
  </si>
  <si>
    <t>04438</t>
  </si>
  <si>
    <t>Timmapur (LMD Colony)</t>
  </si>
  <si>
    <t>149.15723780487806</t>
  </si>
  <si>
    <t>04439</t>
  </si>
  <si>
    <t>Veenavanka</t>
  </si>
  <si>
    <t>144.56398170731708</t>
  </si>
  <si>
    <t>04440</t>
  </si>
  <si>
    <t>Jammikunta</t>
  </si>
  <si>
    <t>224.95626219512195</t>
  </si>
  <si>
    <t>04441</t>
  </si>
  <si>
    <t>Shankarapatnam</t>
  </si>
  <si>
    <t>133.02934756097559</t>
  </si>
  <si>
    <t>04442</t>
  </si>
  <si>
    <t>Chigurumamidi</t>
  </si>
  <si>
    <t>142.24675609756099</t>
  </si>
  <si>
    <t>04443</t>
  </si>
  <si>
    <t>Koheda</t>
  </si>
  <si>
    <t>221.62975609756097</t>
  </si>
  <si>
    <t>04444</t>
  </si>
  <si>
    <t>Husnabad</t>
  </si>
  <si>
    <t>287.8097195121951</t>
  </si>
  <si>
    <t>04445</t>
  </si>
  <si>
    <t>Saidapur</t>
  </si>
  <si>
    <t>150.372493902439</t>
  </si>
  <si>
    <t>04446</t>
  </si>
  <si>
    <t>Huzurabad</t>
  </si>
  <si>
    <t>135.45985975609756</t>
  </si>
  <si>
    <t>04447</t>
  </si>
  <si>
    <t>Kamalapur</t>
  </si>
  <si>
    <t>155.42919512195121</t>
  </si>
  <si>
    <t>04448</t>
  </si>
  <si>
    <t>Bheemadevarpalle</t>
  </si>
  <si>
    <t>204.79124999999999</t>
  </si>
  <si>
    <t>04449</t>
  </si>
  <si>
    <t>Elkathurthi</t>
  </si>
  <si>
    <t>158.75570121951219</t>
  </si>
  <si>
    <t>04450</t>
  </si>
  <si>
    <t>Kangti</t>
  </si>
  <si>
    <t>282.86037452101584</t>
  </si>
  <si>
    <t>04451</t>
  </si>
  <si>
    <t>Manoor</t>
  </si>
  <si>
    <t>287.82536725659958</t>
  </si>
  <si>
    <t>04452</t>
  </si>
  <si>
    <t>Narayankhed</t>
  </si>
  <si>
    <t>203.78101926981998</t>
  </si>
  <si>
    <t>04453</t>
  </si>
  <si>
    <t>Kalher</t>
  </si>
  <si>
    <t>230.16140598316014</t>
  </si>
  <si>
    <t>04454</t>
  </si>
  <si>
    <t>Shankarampet (A)</t>
  </si>
  <si>
    <t>142.62508177778534</t>
  </si>
  <si>
    <t>04455</t>
  </si>
  <si>
    <t>Papannapet</t>
  </si>
  <si>
    <t>189.53499239572801</t>
  </si>
  <si>
    <t>04456</t>
  </si>
  <si>
    <t>Medak</t>
  </si>
  <si>
    <t>326.90665862341439</t>
  </si>
  <si>
    <t>04457</t>
  </si>
  <si>
    <t>Ramayampet</t>
  </si>
  <si>
    <t>253.44124744046152</t>
  </si>
  <si>
    <t>04458</t>
  </si>
  <si>
    <t>Dubbak</t>
  </si>
  <si>
    <t>234.98218731148629</t>
  </si>
  <si>
    <t>04459</t>
  </si>
  <si>
    <t>Siddipet</t>
  </si>
  <si>
    <t>255.65592262334638</t>
  </si>
  <si>
    <t>04460</t>
  </si>
  <si>
    <t>Chinnakodur</t>
  </si>
  <si>
    <t>263.90687528144304</t>
  </si>
  <si>
    <t>04461</t>
  </si>
  <si>
    <t>Nangnoor</t>
  </si>
  <si>
    <t>191.2552284680153</t>
  </si>
  <si>
    <t>04462</t>
  </si>
  <si>
    <t>Kondapak</t>
  </si>
  <si>
    <t>252.96740995947221</t>
  </si>
  <si>
    <t>04463</t>
  </si>
  <si>
    <t>Thoguta</t>
  </si>
  <si>
    <t>167.57365523335343</t>
  </si>
  <si>
    <t>04464</t>
  </si>
  <si>
    <t>Mirdoddi</t>
  </si>
  <si>
    <t>147.90939977229667</t>
  </si>
  <si>
    <t>04465</t>
  </si>
  <si>
    <t>Doultabad</t>
  </si>
  <si>
    <t>217.99614369949956</t>
  </si>
  <si>
    <t>04466</t>
  </si>
  <si>
    <t>Chegunta</t>
  </si>
  <si>
    <t>210.46624807769101</t>
  </si>
  <si>
    <t>04467</t>
  </si>
  <si>
    <t>Shankarampet (R)</t>
  </si>
  <si>
    <t>149.65023747419221</t>
  </si>
  <si>
    <t>04468</t>
  </si>
  <si>
    <t>Kulcharam</t>
  </si>
  <si>
    <t>152.52416480454048</t>
  </si>
  <si>
    <t>04469</t>
  </si>
  <si>
    <t>Tekmal</t>
  </si>
  <si>
    <t>135.52782037774963</t>
  </si>
  <si>
    <t>04470</t>
  </si>
  <si>
    <t>Alladurg</t>
  </si>
  <si>
    <t>141.11086200158033</t>
  </si>
  <si>
    <t>04471</t>
  </si>
  <si>
    <t>Regode</t>
  </si>
  <si>
    <t>140.40010578009637</t>
  </si>
  <si>
    <t>04472</t>
  </si>
  <si>
    <t>Raikode</t>
  </si>
  <si>
    <t>208.11766230235264</t>
  </si>
  <si>
    <t>04473</t>
  </si>
  <si>
    <t>Nyalkal</t>
  </si>
  <si>
    <t>285.75490348097236</t>
  </si>
  <si>
    <t>04474</t>
  </si>
  <si>
    <t>Zahirabad</t>
  </si>
  <si>
    <t>422.41581348717466</t>
  </si>
  <si>
    <t>04475</t>
  </si>
  <si>
    <t>Kohir</t>
  </si>
  <si>
    <t>220.97307917788899</t>
  </si>
  <si>
    <t>04476</t>
  </si>
  <si>
    <t>Jharasangam</t>
  </si>
  <si>
    <t>191.46124476409764</t>
  </si>
  <si>
    <t>04477</t>
  </si>
  <si>
    <t>Munpalle</t>
  </si>
  <si>
    <t>201.72085630899684</t>
  </si>
  <si>
    <t>04478</t>
  </si>
  <si>
    <t>Pulkal</t>
  </si>
  <si>
    <t>249.72265329617576</t>
  </si>
  <si>
    <t>04479</t>
  </si>
  <si>
    <t>Andole</t>
  </si>
  <si>
    <t>175.84520952105831</t>
  </si>
  <si>
    <t>04480</t>
  </si>
  <si>
    <t>Kowdipalle</t>
  </si>
  <si>
    <t>229.95538968707783</t>
  </si>
  <si>
    <t>04481</t>
  </si>
  <si>
    <t>Yeldurthy</t>
  </si>
  <si>
    <t>191.79087083782935</t>
  </si>
  <si>
    <t>04482</t>
  </si>
  <si>
    <t>Tupran</t>
  </si>
  <si>
    <t>199.59888845934901</t>
  </si>
  <si>
    <t>04483</t>
  </si>
  <si>
    <t>Gajwel</t>
  </si>
  <si>
    <t>185.53827625173113</t>
  </si>
  <si>
    <t>04484</t>
  </si>
  <si>
    <t>Jagdevpur</t>
  </si>
  <si>
    <t>219.92239606786919</t>
  </si>
  <si>
    <t>04485</t>
  </si>
  <si>
    <t>Wargal</t>
  </si>
  <si>
    <t>163.36062197847014</t>
  </si>
  <si>
    <t>04486</t>
  </si>
  <si>
    <t>Mulug</t>
  </si>
  <si>
    <t>212.98994770469938</t>
  </si>
  <si>
    <t>04487</t>
  </si>
  <si>
    <t>Shivampet</t>
  </si>
  <si>
    <t>199.10444934875144</t>
  </si>
  <si>
    <t>04488</t>
  </si>
  <si>
    <t>Narsapur</t>
  </si>
  <si>
    <t>191.48184639370587</t>
  </si>
  <si>
    <t>04489</t>
  </si>
  <si>
    <t>Hathnoora</t>
  </si>
  <si>
    <t>215.24582614680068</t>
  </si>
  <si>
    <t>04490</t>
  </si>
  <si>
    <t>Sadasivpet</t>
  </si>
  <si>
    <t>262.67077750494911</t>
  </si>
  <si>
    <t>04491</t>
  </si>
  <si>
    <t>Kondapur</t>
  </si>
  <si>
    <t>157.50975916973243</t>
  </si>
  <si>
    <t>04492</t>
  </si>
  <si>
    <t>Sangareddy</t>
  </si>
  <si>
    <t>212.0319719279166</t>
  </si>
  <si>
    <t>04493</t>
  </si>
  <si>
    <t>Jinnaram</t>
  </si>
  <si>
    <t>239.79266782500827</t>
  </si>
  <si>
    <t>04494</t>
  </si>
  <si>
    <t>Patancheru</t>
  </si>
  <si>
    <t>191.40974069007706</t>
  </si>
  <si>
    <t>04495</t>
  </si>
  <si>
    <t>Ramachandrapuram</t>
  </si>
  <si>
    <t>91.522739534567563</t>
  </si>
  <si>
    <t>04496</t>
  </si>
  <si>
    <t>Shaikpet</t>
  </si>
  <si>
    <t>28.77</t>
  </si>
  <si>
    <t>04497</t>
  </si>
  <si>
    <t>Ameerpet</t>
  </si>
  <si>
    <t>3.72</t>
  </si>
  <si>
    <t>04498</t>
  </si>
  <si>
    <t>Secunderabad</t>
  </si>
  <si>
    <t>11.34</t>
  </si>
  <si>
    <t>04499</t>
  </si>
  <si>
    <t>Tirumalagiri</t>
  </si>
  <si>
    <t>22.81</t>
  </si>
  <si>
    <t>04500</t>
  </si>
  <si>
    <t>Maredpalle</t>
  </si>
  <si>
    <t>13.7</t>
  </si>
  <si>
    <t>04501</t>
  </si>
  <si>
    <t>Musheerabad</t>
  </si>
  <si>
    <t>10.99</t>
  </si>
  <si>
    <t>04502</t>
  </si>
  <si>
    <t>Amberpet</t>
  </si>
  <si>
    <t>12.95</t>
  </si>
  <si>
    <t>04503</t>
  </si>
  <si>
    <t>Himayathnagar</t>
  </si>
  <si>
    <t>7.06</t>
  </si>
  <si>
    <t>04504</t>
  </si>
  <si>
    <t>Nampally</t>
  </si>
  <si>
    <t>6.45</t>
  </si>
  <si>
    <t>04505</t>
  </si>
  <si>
    <t>Khairatabad</t>
  </si>
  <si>
    <t>20.95</t>
  </si>
  <si>
    <t>04506</t>
  </si>
  <si>
    <t>Asifnagar</t>
  </si>
  <si>
    <t>04507</t>
  </si>
  <si>
    <t>Golconda</t>
  </si>
  <si>
    <t>9.89</t>
  </si>
  <si>
    <t>04508</t>
  </si>
  <si>
    <t>Bahadurpura</t>
  </si>
  <si>
    <t>8.27</t>
  </si>
  <si>
    <t>04509</t>
  </si>
  <si>
    <t>Bandlaguda</t>
  </si>
  <si>
    <t>29.93</t>
  </si>
  <si>
    <t>04510</t>
  </si>
  <si>
    <t>Charminar</t>
  </si>
  <si>
    <t>4.4000000000000004</t>
  </si>
  <si>
    <t>04511</t>
  </si>
  <si>
    <t>Saidabad</t>
  </si>
  <si>
    <t>11.77</t>
  </si>
  <si>
    <t>537</t>
  </si>
  <si>
    <t>04512</t>
  </si>
  <si>
    <t>Marpalle</t>
  </si>
  <si>
    <t>218.125849124556</t>
  </si>
  <si>
    <t>04513</t>
  </si>
  <si>
    <t>Mominpet</t>
  </si>
  <si>
    <t>204.18</t>
  </si>
  <si>
    <t>04514</t>
  </si>
  <si>
    <t>Nawabpet</t>
  </si>
  <si>
    <t>138.43013692045906</t>
  </si>
  <si>
    <t>04515</t>
  </si>
  <si>
    <t>Shankarpalle</t>
  </si>
  <si>
    <t>215.27119907758822</t>
  </si>
  <si>
    <t>04516</t>
  </si>
  <si>
    <t>Serilingampally</t>
  </si>
  <si>
    <t>04517</t>
  </si>
  <si>
    <t>Balanagar</t>
  </si>
  <si>
    <t>04518</t>
  </si>
  <si>
    <t>Qutubullapur</t>
  </si>
  <si>
    <t>146.63725580549144</t>
  </si>
  <si>
    <t>04519</t>
  </si>
  <si>
    <t>Medchal</t>
  </si>
  <si>
    <t>182.88</t>
  </si>
  <si>
    <t>04520</t>
  </si>
  <si>
    <t>Shamirpet</t>
  </si>
  <si>
    <t>04521</t>
  </si>
  <si>
    <t>Malkajgiri</t>
  </si>
  <si>
    <t>04522</t>
  </si>
  <si>
    <t>Keesara</t>
  </si>
  <si>
    <t>138.48111281415493</t>
  </si>
  <si>
    <t>04523</t>
  </si>
  <si>
    <t>Ghatkesar</t>
  </si>
  <si>
    <t>167.8330324042272</t>
  </si>
  <si>
    <t>04524</t>
  </si>
  <si>
    <t>Uppal</t>
  </si>
  <si>
    <t>19.5</t>
  </si>
  <si>
    <t>04525</t>
  </si>
  <si>
    <t>Hayathnagar</t>
  </si>
  <si>
    <t>277.15593402435405</t>
  </si>
  <si>
    <t>04526</t>
  </si>
  <si>
    <t>Saroornagar</t>
  </si>
  <si>
    <t>182.66</t>
  </si>
  <si>
    <t>04527</t>
  </si>
  <si>
    <t>Rajendranagar</t>
  </si>
  <si>
    <t>154.77300843934961</t>
  </si>
  <si>
    <t>04528</t>
  </si>
  <si>
    <t>Moinabad</t>
  </si>
  <si>
    <t>203.11854602049681</t>
  </si>
  <si>
    <t>04529</t>
  </si>
  <si>
    <t>Chevella</t>
  </si>
  <si>
    <t>278.46091690296788</t>
  </si>
  <si>
    <t>04530</t>
  </si>
  <si>
    <t>Vicarabad</t>
  </si>
  <si>
    <t>214.24148602493199</t>
  </si>
  <si>
    <t>04531</t>
  </si>
  <si>
    <t>215.16</t>
  </si>
  <si>
    <t>04532</t>
  </si>
  <si>
    <t>Bantwaram</t>
  </si>
  <si>
    <t>144.15</t>
  </si>
  <si>
    <t>04533</t>
  </si>
  <si>
    <t>Peddemul</t>
  </si>
  <si>
    <t>294.99</t>
  </si>
  <si>
    <t>04534</t>
  </si>
  <si>
    <t>231.76699827756633</t>
  </si>
  <si>
    <t>04535</t>
  </si>
  <si>
    <t>Basheerabad</t>
  </si>
  <si>
    <t>215.07749068154399</t>
  </si>
  <si>
    <t>04536</t>
  </si>
  <si>
    <t>Yelal</t>
  </si>
  <si>
    <t>217.93214072851174</t>
  </si>
  <si>
    <t>04537</t>
  </si>
  <si>
    <t>Doma</t>
  </si>
  <si>
    <t>170.7896342385867</t>
  </si>
  <si>
    <t>04538</t>
  </si>
  <si>
    <t>Gandeed</t>
  </si>
  <si>
    <t>234.79496636310003</t>
  </si>
  <si>
    <t>04539</t>
  </si>
  <si>
    <t>Kulkacharla</t>
  </si>
  <si>
    <t>276.06504989926276</t>
  </si>
  <si>
    <t>04540</t>
  </si>
  <si>
    <t>Pargi</t>
  </si>
  <si>
    <t>245.43873296679419</t>
  </si>
  <si>
    <t>04541</t>
  </si>
  <si>
    <t>Pudur</t>
  </si>
  <si>
    <t>200.84502116166175</t>
  </si>
  <si>
    <t>04542</t>
  </si>
  <si>
    <t>Shabad</t>
  </si>
  <si>
    <t>238.54679213911481</t>
  </si>
  <si>
    <t>04543</t>
  </si>
  <si>
    <t>155.16042523143807</t>
  </si>
  <si>
    <t>04544</t>
  </si>
  <si>
    <t>Maheswaram</t>
  </si>
  <si>
    <t>255.41981295244224</t>
  </si>
  <si>
    <t>04545</t>
  </si>
  <si>
    <t>Kandukur</t>
  </si>
  <si>
    <t>292.89</t>
  </si>
  <si>
    <t>04546</t>
  </si>
  <si>
    <t>268.79000000000002</t>
  </si>
  <si>
    <t>04547</t>
  </si>
  <si>
    <t>277.09476295191905</t>
  </si>
  <si>
    <t>04548</t>
  </si>
  <si>
    <t>Yacharam</t>
  </si>
  <si>
    <t>311.60000000000002</t>
  </si>
  <si>
    <t>538</t>
  </si>
  <si>
    <t>04549</t>
  </si>
  <si>
    <t>Kodangal</t>
  </si>
  <si>
    <t>254.38719535054997</t>
  </si>
  <si>
    <t>04550</t>
  </si>
  <si>
    <t>Bomraspet</t>
  </si>
  <si>
    <t>252.92325841404835</t>
  </si>
  <si>
    <t>04551</t>
  </si>
  <si>
    <t>Kosgi</t>
  </si>
  <si>
    <t>170.76875550897518</t>
  </si>
  <si>
    <t>04552</t>
  </si>
  <si>
    <t>Doulathabad</t>
  </si>
  <si>
    <t>196.93534858378726</t>
  </si>
  <si>
    <t>04553</t>
  </si>
  <si>
    <t>Damaragidda</t>
  </si>
  <si>
    <t>214.93255931364627</t>
  </si>
  <si>
    <t>04554</t>
  </si>
  <si>
    <t>Maddur</t>
  </si>
  <si>
    <t>227.50398978933845</t>
  </si>
  <si>
    <t>04555</t>
  </si>
  <si>
    <t>Hanwada</t>
  </si>
  <si>
    <t>182.22431797013115</t>
  </si>
  <si>
    <t>04556</t>
  </si>
  <si>
    <t>220.10240653695618</t>
  </si>
  <si>
    <t>04557</t>
  </si>
  <si>
    <t>300.75202322059062</t>
  </si>
  <si>
    <t>04558</t>
  </si>
  <si>
    <t>Kondurg</t>
  </si>
  <si>
    <t>239.13358671147716</t>
  </si>
  <si>
    <t>04559</t>
  </si>
  <si>
    <t>Farooqnagar</t>
  </si>
  <si>
    <t>274.71851532182416</t>
  </si>
  <si>
    <t>04560</t>
  </si>
  <si>
    <t>Kothur</t>
  </si>
  <si>
    <t>214.72781288896073</t>
  </si>
  <si>
    <t>04561</t>
  </si>
  <si>
    <t>Keshampet</t>
  </si>
  <si>
    <t>213.77574201417295</t>
  </si>
  <si>
    <t>04562</t>
  </si>
  <si>
    <t>Talakondapalle</t>
  </si>
  <si>
    <t>301.75528070154979</t>
  </si>
  <si>
    <t>04563</t>
  </si>
  <si>
    <t>Amangal</t>
  </si>
  <si>
    <t>274.8208885341669</t>
  </si>
  <si>
    <t>04564</t>
  </si>
  <si>
    <t>Madgul</t>
  </si>
  <si>
    <t>277.12428581187925</t>
  </si>
  <si>
    <t>04565</t>
  </si>
  <si>
    <t>Veldanda</t>
  </si>
  <si>
    <t>306.1880407959917</t>
  </si>
  <si>
    <t>04566</t>
  </si>
  <si>
    <t>Midjil</t>
  </si>
  <si>
    <t>332.692465471535</t>
  </si>
  <si>
    <t>04567</t>
  </si>
  <si>
    <t>Jadcherla</t>
  </si>
  <si>
    <t>258.38</t>
  </si>
  <si>
    <t>04568</t>
  </si>
  <si>
    <t>Mahbubnagar</t>
  </si>
  <si>
    <t>225.77388250074563</t>
  </si>
  <si>
    <t>04569</t>
  </si>
  <si>
    <t>Koilkonda</t>
  </si>
  <si>
    <t>209.9265092300848</t>
  </si>
  <si>
    <t>04570</t>
  </si>
  <si>
    <t>Narayanpet</t>
  </si>
  <si>
    <t>241.29366149190963</t>
  </si>
  <si>
    <t>04571</t>
  </si>
  <si>
    <t>Utkoor</t>
  </si>
  <si>
    <t>268.58635990249223</t>
  </si>
  <si>
    <t>04572</t>
  </si>
  <si>
    <t>Dhanwada</t>
  </si>
  <si>
    <t>228.82460422856022</t>
  </si>
  <si>
    <t>04573</t>
  </si>
  <si>
    <t>Devarkadra</t>
  </si>
  <si>
    <t>256.27086245765696</t>
  </si>
  <si>
    <t>04574</t>
  </si>
  <si>
    <t>Bhoothpur</t>
  </si>
  <si>
    <t>169.44814106975343</t>
  </si>
  <si>
    <t>04575</t>
  </si>
  <si>
    <t>Thimmajipet</t>
  </si>
  <si>
    <t>206.08751376723092</t>
  </si>
  <si>
    <t>04576</t>
  </si>
  <si>
    <t>Kalwakurthy</t>
  </si>
  <si>
    <t>267.43977992425317</t>
  </si>
  <si>
    <t>04577</t>
  </si>
  <si>
    <t>Vangoor</t>
  </si>
  <si>
    <t>393.11313539623802</t>
  </si>
  <si>
    <t>04578</t>
  </si>
  <si>
    <t>Amrabad</t>
  </si>
  <si>
    <t>1984.0849910939971</t>
  </si>
  <si>
    <t>04579</t>
  </si>
  <si>
    <t>Achampet</t>
  </si>
  <si>
    <t>408.45887992641929</t>
  </si>
  <si>
    <t>04580</t>
  </si>
  <si>
    <t>Uppununthala</t>
  </si>
  <si>
    <t>229.53097939372532</t>
  </si>
  <si>
    <t>04581</t>
  </si>
  <si>
    <t>Telkapalle</t>
  </si>
  <si>
    <t>237.12707174955887</t>
  </si>
  <si>
    <t>04582</t>
  </si>
  <si>
    <t>Tadoor</t>
  </si>
  <si>
    <t>219.43698065672817</t>
  </si>
  <si>
    <t>04583</t>
  </si>
  <si>
    <t>Nagarkurnool</t>
  </si>
  <si>
    <t>212.83390846061948</t>
  </si>
  <si>
    <t>04584</t>
  </si>
  <si>
    <t>Bijinapalle</t>
  </si>
  <si>
    <t>247.11869727421325</t>
  </si>
  <si>
    <t>04585</t>
  </si>
  <si>
    <t>Ghanpur</t>
  </si>
  <si>
    <t>181.74316387212014</t>
  </si>
  <si>
    <t>04586</t>
  </si>
  <si>
    <t>Addakal</t>
  </si>
  <si>
    <t>207.49002677632689</t>
  </si>
  <si>
    <t>04587</t>
  </si>
  <si>
    <t>Chinnachintakunta</t>
  </si>
  <si>
    <t>202.78085900855945</t>
  </si>
  <si>
    <t>04588</t>
  </si>
  <si>
    <t>Narva</t>
  </si>
  <si>
    <t>274.85160049786975</t>
  </si>
  <si>
    <t>04589</t>
  </si>
  <si>
    <t>Makthal</t>
  </si>
  <si>
    <t>352.21503706530126</t>
  </si>
  <si>
    <t>04590</t>
  </si>
  <si>
    <t>Maganoor</t>
  </si>
  <si>
    <t>381.37092794052222</t>
  </si>
  <si>
    <t>04591</t>
  </si>
  <si>
    <t>297.14848614612509</t>
  </si>
  <si>
    <t>04592</t>
  </si>
  <si>
    <t>Atmakur</t>
  </si>
  <si>
    <t>218.25968871478631</t>
  </si>
  <si>
    <t>04593</t>
  </si>
  <si>
    <t>Kothakota</t>
  </si>
  <si>
    <t>243.37183770246784</t>
  </si>
  <si>
    <t>04594</t>
  </si>
  <si>
    <t>Peddamandadi</t>
  </si>
  <si>
    <t>161.13543622752047</t>
  </si>
  <si>
    <t>04595</t>
  </si>
  <si>
    <t>Wanaparthy</t>
  </si>
  <si>
    <t>198.94186354570556</t>
  </si>
  <si>
    <t>04596</t>
  </si>
  <si>
    <t>Gopalpeta</t>
  </si>
  <si>
    <t>243.59705876962195</t>
  </si>
  <si>
    <t>04597</t>
  </si>
  <si>
    <t>Balmoor</t>
  </si>
  <si>
    <t>225.12893126298619</t>
  </si>
  <si>
    <t>04598</t>
  </si>
  <si>
    <t>Lingal</t>
  </si>
  <si>
    <t>196.84321269267875</t>
  </si>
  <si>
    <t>04599</t>
  </si>
  <si>
    <t>Peddakothapalle</t>
  </si>
  <si>
    <t>280.97351859596739</t>
  </si>
  <si>
    <t>04600</t>
  </si>
  <si>
    <t>Kodair</t>
  </si>
  <si>
    <t>215.47513733906294</t>
  </si>
  <si>
    <t>04601</t>
  </si>
  <si>
    <t>Pangal</t>
  </si>
  <si>
    <t>253.53749768810496</t>
  </si>
  <si>
    <t>04602</t>
  </si>
  <si>
    <t>Pebbair</t>
  </si>
  <si>
    <t>260.18151916915076</t>
  </si>
  <si>
    <t>04603</t>
  </si>
  <si>
    <t>Gadwal</t>
  </si>
  <si>
    <t>239.17453599641428</t>
  </si>
  <si>
    <t>04604</t>
  </si>
  <si>
    <t>Maldakal</t>
  </si>
  <si>
    <t>231.90603792007758</t>
  </si>
  <si>
    <t>04605</t>
  </si>
  <si>
    <t>Ghattu</t>
  </si>
  <si>
    <t>370.63197796576566</t>
  </si>
  <si>
    <t>04606</t>
  </si>
  <si>
    <t>Ieej</t>
  </si>
  <si>
    <t>299.49283270877459</t>
  </si>
  <si>
    <t>04607</t>
  </si>
  <si>
    <t>Itikyal</t>
  </si>
  <si>
    <t>277.09357384817645</t>
  </si>
  <si>
    <t>04608</t>
  </si>
  <si>
    <t>Veepangandla</t>
  </si>
  <si>
    <t>305.83997187402633</t>
  </si>
  <si>
    <t>04609</t>
  </si>
  <si>
    <t>Kollapur</t>
  </si>
  <si>
    <t>657.12341270700836</t>
  </si>
  <si>
    <t>04610</t>
  </si>
  <si>
    <t>Waddepalle</t>
  </si>
  <si>
    <t>305.43047902465526</t>
  </si>
  <si>
    <t>04611</t>
  </si>
  <si>
    <t>Manopad</t>
  </si>
  <si>
    <t>311.54215980151861</t>
  </si>
  <si>
    <t>04612</t>
  </si>
  <si>
    <t>Alampur</t>
  </si>
  <si>
    <t>319.52215980151902</t>
  </si>
  <si>
    <t>04613</t>
  </si>
  <si>
    <t>Bommalaramaram</t>
  </si>
  <si>
    <t>186.78518535618008</t>
  </si>
  <si>
    <t>04614</t>
  </si>
  <si>
    <t>M.Turkapalle</t>
  </si>
  <si>
    <t>225.51257625937529</t>
  </si>
  <si>
    <t>04615</t>
  </si>
  <si>
    <t>Rajapet</t>
  </si>
  <si>
    <t>195.42437255766208</t>
  </si>
  <si>
    <t>04616</t>
  </si>
  <si>
    <t>Yadagirigutta</t>
  </si>
  <si>
    <t>224.39287185395136</t>
  </si>
  <si>
    <t>04617</t>
  </si>
  <si>
    <t>Alair</t>
  </si>
  <si>
    <t>188.32606297832314</t>
  </si>
  <si>
    <t>04618</t>
  </si>
  <si>
    <t>Gundala</t>
  </si>
  <si>
    <t>196.04072360651929</t>
  </si>
  <si>
    <t>04619</t>
  </si>
  <si>
    <t>Thirumalgiri</t>
  </si>
  <si>
    <t>161.50451983555317</t>
  </si>
  <si>
    <t>04620</t>
  </si>
  <si>
    <t>Thungathurthi</t>
  </si>
  <si>
    <t>209.4463589191638</t>
  </si>
  <si>
    <t>04621</t>
  </si>
  <si>
    <t>Nuthankal</t>
  </si>
  <si>
    <t>227.37190192342791</t>
  </si>
  <si>
    <t>04622</t>
  </si>
  <si>
    <t>Atmakur (S)</t>
  </si>
  <si>
    <t>203.19039577326305</t>
  </si>
  <si>
    <t>04623</t>
  </si>
  <si>
    <t>Jaji Reddi Gudem</t>
  </si>
  <si>
    <t>201.82415094829619</t>
  </si>
  <si>
    <t>04624</t>
  </si>
  <si>
    <t>Sali Gouraram</t>
  </si>
  <si>
    <t>190.24702374726144</t>
  </si>
  <si>
    <t>04625</t>
  </si>
  <si>
    <t>Mothkur</t>
  </si>
  <si>
    <t>274.71793499314327</t>
  </si>
  <si>
    <t>04626</t>
  </si>
  <si>
    <t>Atmakur (M)</t>
  </si>
  <si>
    <t>225.55366632929912</t>
  </si>
  <si>
    <t>04627</t>
  </si>
  <si>
    <t>Valigonda</t>
  </si>
  <si>
    <t>293.15710387145504</t>
  </si>
  <si>
    <t>04628</t>
  </si>
  <si>
    <t>Bhongir</t>
  </si>
  <si>
    <t>257.95318646422692</t>
  </si>
  <si>
    <t>04629</t>
  </si>
  <si>
    <t>Bibinagar</t>
  </si>
  <si>
    <t>199.88264514439598</t>
  </si>
  <si>
    <t>04630</t>
  </si>
  <si>
    <t>Pochampalle</t>
  </si>
  <si>
    <t>184.26841857334642</t>
  </si>
  <si>
    <t>04631</t>
  </si>
  <si>
    <t>Choutuppal</t>
  </si>
  <si>
    <t>276.96761632147212</t>
  </si>
  <si>
    <t>04632</t>
  </si>
  <si>
    <t>Ramannapeta</t>
  </si>
  <si>
    <t>247.57794380846371</t>
  </si>
  <si>
    <t>04633</t>
  </si>
  <si>
    <t>Chityala</t>
  </si>
  <si>
    <t>222.54381870737967</t>
  </si>
  <si>
    <t>04634</t>
  </si>
  <si>
    <t>Narketpalle</t>
  </si>
  <si>
    <t>202.92331031875824</t>
  </si>
  <si>
    <t>04635</t>
  </si>
  <si>
    <t>Kattangoor</t>
  </si>
  <si>
    <t>174.26298654689757</t>
  </si>
  <si>
    <t>04636</t>
  </si>
  <si>
    <t>Nakrekal</t>
  </si>
  <si>
    <t>136.43957718202626</t>
  </si>
  <si>
    <t>04637</t>
  </si>
  <si>
    <t>Kethe Palle</t>
  </si>
  <si>
    <t>148.32487990748962</t>
  </si>
  <si>
    <t>04638</t>
  </si>
  <si>
    <t>Suryapet</t>
  </si>
  <si>
    <t>201.32079759172947</t>
  </si>
  <si>
    <t>04639</t>
  </si>
  <si>
    <t>Chivvemla</t>
  </si>
  <si>
    <t>151.59154046643289</t>
  </si>
  <si>
    <t>04640</t>
  </si>
  <si>
    <t>Mothey</t>
  </si>
  <si>
    <t>208.97382311503995</t>
  </si>
  <si>
    <t>04641</t>
  </si>
  <si>
    <t>Nadigudem</t>
  </si>
  <si>
    <t>176.08122214102639</t>
  </si>
  <si>
    <t>04642</t>
  </si>
  <si>
    <t>Munagala</t>
  </si>
  <si>
    <t>139.23370193684565</t>
  </si>
  <si>
    <t>04643</t>
  </si>
  <si>
    <t>Penpahad</t>
  </si>
  <si>
    <t>168.19192871565397</t>
  </si>
  <si>
    <t>04644</t>
  </si>
  <si>
    <t>Vemulapalle</t>
  </si>
  <si>
    <t>211.19268689092593</t>
  </si>
  <si>
    <t>04645</t>
  </si>
  <si>
    <t>Thipparthi</t>
  </si>
  <si>
    <t>247.9374819202971</t>
  </si>
  <si>
    <t>04646</t>
  </si>
  <si>
    <t>Nalgonda</t>
  </si>
  <si>
    <t>293.86590757764083</t>
  </si>
  <si>
    <t>04647</t>
  </si>
  <si>
    <t>Munugode</t>
  </si>
  <si>
    <t>250.82405933244507</t>
  </si>
  <si>
    <t>04648</t>
  </si>
  <si>
    <t>Narayanapur</t>
  </si>
  <si>
    <t>289.47954261327362</t>
  </si>
  <si>
    <t>04649</t>
  </si>
  <si>
    <t>Marriguda</t>
  </si>
  <si>
    <t>263.74688632348477</t>
  </si>
  <si>
    <t>04650</t>
  </si>
  <si>
    <t>Chintha Palle</t>
  </si>
  <si>
    <t>339.33206994834165</t>
  </si>
  <si>
    <t>04651</t>
  </si>
  <si>
    <t>Gundla Palle</t>
  </si>
  <si>
    <t>331.36059638312162</t>
  </si>
  <si>
    <t>04652</t>
  </si>
  <si>
    <t>Chandam Pet</t>
  </si>
  <si>
    <t>682.87587206387434</t>
  </si>
  <si>
    <t>04653</t>
  </si>
  <si>
    <t>Devarakonda</t>
  </si>
  <si>
    <t>356.15845358214369</t>
  </si>
  <si>
    <t>04654</t>
  </si>
  <si>
    <t>Nampalle</t>
  </si>
  <si>
    <t>269.69467394495695</t>
  </si>
  <si>
    <t>04655</t>
  </si>
  <si>
    <t>Chandur</t>
  </si>
  <si>
    <t>189.86694060046617</t>
  </si>
  <si>
    <t>04656</t>
  </si>
  <si>
    <t>Kangal</t>
  </si>
  <si>
    <t>223.48889031562743</t>
  </si>
  <si>
    <t>04657</t>
  </si>
  <si>
    <t>Gurrampode</t>
  </si>
  <si>
    <t>302.97763058324671</t>
  </si>
  <si>
    <t>04658</t>
  </si>
  <si>
    <t>Pedda Adiserla Palle</t>
  </si>
  <si>
    <t>309.10005100189505</t>
  </si>
  <si>
    <t>04659</t>
  </si>
  <si>
    <t>Peddavoora</t>
  </si>
  <si>
    <t>403.82293469376862</t>
  </si>
  <si>
    <t>04660</t>
  </si>
  <si>
    <t>Anumula</t>
  </si>
  <si>
    <t>328.81301204784512</t>
  </si>
  <si>
    <t>04661</t>
  </si>
  <si>
    <t>Nidamanur</t>
  </si>
  <si>
    <t>246.85886758479697</t>
  </si>
  <si>
    <t>04662</t>
  </si>
  <si>
    <t>Thripuraram</t>
  </si>
  <si>
    <t>174.9923352880453</t>
  </si>
  <si>
    <t>04663</t>
  </si>
  <si>
    <t>Dameracherla</t>
  </si>
  <si>
    <t>349.53267980692863</t>
  </si>
  <si>
    <t>04664</t>
  </si>
  <si>
    <t>Miryalaguda</t>
  </si>
  <si>
    <t>240.13036863477234</t>
  </si>
  <si>
    <t>04665</t>
  </si>
  <si>
    <t>Neredcherla</t>
  </si>
  <si>
    <t>277.56342233536742</t>
  </si>
  <si>
    <t>04666</t>
  </si>
  <si>
    <t>Garide Palle</t>
  </si>
  <si>
    <t>197.39669591400519</t>
  </si>
  <si>
    <t>04667</t>
  </si>
  <si>
    <t>Chilkur</t>
  </si>
  <si>
    <t>114.16875928331878</t>
  </si>
  <si>
    <t>04668</t>
  </si>
  <si>
    <t>Kodad</t>
  </si>
  <si>
    <t>302.55645736652758</t>
  </si>
  <si>
    <t>04669</t>
  </si>
  <si>
    <t>Huzurnagar</t>
  </si>
  <si>
    <t>119.55155844333848</t>
  </si>
  <si>
    <t>04670</t>
  </si>
  <si>
    <t>Mattam Palle</t>
  </si>
  <si>
    <t>212.00421577192125</t>
  </si>
  <si>
    <t>04671</t>
  </si>
  <si>
    <t>Mella Cheruvu</t>
  </si>
  <si>
    <t>410.67470385356467</t>
  </si>
  <si>
    <t>04672</t>
  </si>
  <si>
    <t>Cherial</t>
  </si>
  <si>
    <t>311.02384481012058</t>
  </si>
  <si>
    <t>04673</t>
  </si>
  <si>
    <t>183.48500985092008</t>
  </si>
  <si>
    <t>04674</t>
  </si>
  <si>
    <t>Bachannapet</t>
  </si>
  <si>
    <t>226.23362553741356</t>
  </si>
  <si>
    <t>04675</t>
  </si>
  <si>
    <t>Narmetta</t>
  </si>
  <si>
    <t>199.82826057478326</t>
  </si>
  <si>
    <t>04676</t>
  </si>
  <si>
    <t>Ghanpur (Station)</t>
  </si>
  <si>
    <t>329.92873357847634</t>
  </si>
  <si>
    <t>04677</t>
  </si>
  <si>
    <t>Dharmasagar</t>
  </si>
  <si>
    <t>237.38187430704559</t>
  </si>
  <si>
    <t>04678</t>
  </si>
  <si>
    <t>Hasanparthy</t>
  </si>
  <si>
    <t>183.94610469892876</t>
  </si>
  <si>
    <t>04679</t>
  </si>
  <si>
    <t>Parkal</t>
  </si>
  <si>
    <t>173.83275769927175</t>
  </si>
  <si>
    <t>04680</t>
  </si>
  <si>
    <t>Mogullapalle</t>
  </si>
  <si>
    <t>153.97493957836468</t>
  </si>
  <si>
    <t>04681</t>
  </si>
  <si>
    <t>Chityal</t>
  </si>
  <si>
    <t>322.75614705389694</t>
  </si>
  <si>
    <t>04682</t>
  </si>
  <si>
    <t>Bhupalpalle</t>
  </si>
  <si>
    <t>375.45416490519989</t>
  </si>
  <si>
    <t>04683</t>
  </si>
  <si>
    <t>Ghanpur (Mulug)</t>
  </si>
  <si>
    <t>118.23496558160311</t>
  </si>
  <si>
    <t>04684</t>
  </si>
  <si>
    <t>Venkatapur</t>
  </si>
  <si>
    <t>490.60491828123384</t>
  </si>
  <si>
    <t>04685</t>
  </si>
  <si>
    <t>Eturnagaram</t>
  </si>
  <si>
    <t>820.35946047268465</t>
  </si>
  <si>
    <t>04686</t>
  </si>
  <si>
    <t>Mangapet</t>
  </si>
  <si>
    <t>536.93982723001704</t>
  </si>
  <si>
    <t>04687</t>
  </si>
  <si>
    <t>Tadvai</t>
  </si>
  <si>
    <t>777.682570651437</t>
  </si>
  <si>
    <t>04688</t>
  </si>
  <si>
    <t>Govindaraopet</t>
  </si>
  <si>
    <t>154.99959479616174</t>
  </si>
  <si>
    <t>04689</t>
  </si>
  <si>
    <t>336.61973215069116</t>
  </si>
  <si>
    <t>04690</t>
  </si>
  <si>
    <t>Regonda</t>
  </si>
  <si>
    <t>203.72195040241209</t>
  </si>
  <si>
    <t>04691</t>
  </si>
  <si>
    <t>Shayampet</t>
  </si>
  <si>
    <t>95.805262864025394</t>
  </si>
  <si>
    <t>04692</t>
  </si>
  <si>
    <t>Nallabelly</t>
  </si>
  <si>
    <t>215.88460783766322</t>
  </si>
  <si>
    <t>04693</t>
  </si>
  <si>
    <t>Duggondi</t>
  </si>
  <si>
    <t>106.2055133246656</t>
  </si>
  <si>
    <t>04694</t>
  </si>
  <si>
    <t>182.98292879419955</t>
  </si>
  <si>
    <t>04695</t>
  </si>
  <si>
    <t>Hanamkonda</t>
  </si>
  <si>
    <t>198.79335880480821</t>
  </si>
  <si>
    <t>04696</t>
  </si>
  <si>
    <t>Zaffergadh</t>
  </si>
  <si>
    <t>171.46580414616054</t>
  </si>
  <si>
    <t>04697</t>
  </si>
  <si>
    <t>Palakurthi</t>
  </si>
  <si>
    <t>252.9771267219169</t>
  </si>
  <si>
    <t>04698</t>
  </si>
  <si>
    <t>Raghunathpalle</t>
  </si>
  <si>
    <t>266.60504111861786</t>
  </si>
  <si>
    <t>04699</t>
  </si>
  <si>
    <t>Jangaon</t>
  </si>
  <si>
    <t>203.03543140648807</t>
  </si>
  <si>
    <t>04700</t>
  </si>
  <si>
    <t>Lingalaghanpur</t>
  </si>
  <si>
    <t>182.9624356898436</t>
  </si>
  <si>
    <t>04701</t>
  </si>
  <si>
    <t>Devaruppula</t>
  </si>
  <si>
    <t>178.986773444791</t>
  </si>
  <si>
    <t>04702</t>
  </si>
  <si>
    <t>Kodakandla</t>
  </si>
  <si>
    <t>203.27110210658137</t>
  </si>
  <si>
    <t>04703</t>
  </si>
  <si>
    <t>Raiparthy</t>
  </si>
  <si>
    <t>182.54232705054679</t>
  </si>
  <si>
    <t>04704</t>
  </si>
  <si>
    <t>Wardhannapet</t>
  </si>
  <si>
    <t>230.44495848255949</t>
  </si>
  <si>
    <t>04705</t>
  </si>
  <si>
    <t>Sangam</t>
  </si>
  <si>
    <t>173.8122645949158</t>
  </si>
  <si>
    <t>04706</t>
  </si>
  <si>
    <t>Warangal</t>
  </si>
  <si>
    <t>04707</t>
  </si>
  <si>
    <t>Geesugonda</t>
  </si>
  <si>
    <t>127.73351945058188</t>
  </si>
  <si>
    <t>04708</t>
  </si>
  <si>
    <t>Narsampet</t>
  </si>
  <si>
    <t>97.844326747441556</t>
  </si>
  <si>
    <t>04709</t>
  </si>
  <si>
    <t>113.57278434062648</t>
  </si>
  <si>
    <t>04710</t>
  </si>
  <si>
    <t>Kothagudem</t>
  </si>
  <si>
    <t>892.3312429707504</t>
  </si>
  <si>
    <t>04711</t>
  </si>
  <si>
    <t>Gudur</t>
  </si>
  <si>
    <t>316.79265368631803</t>
  </si>
  <si>
    <t>04712</t>
  </si>
  <si>
    <t>Chennaraopet</t>
  </si>
  <si>
    <t>140.7773803731385</t>
  </si>
  <si>
    <t>04713</t>
  </si>
  <si>
    <t>Nekkonda</t>
  </si>
  <si>
    <t>132.47767310898229</t>
  </si>
  <si>
    <t>04714</t>
  </si>
  <si>
    <t>Parvathagiri</t>
  </si>
  <si>
    <t>156.10622243138255</t>
  </si>
  <si>
    <t>04715</t>
  </si>
  <si>
    <t>Thorrur</t>
  </si>
  <si>
    <t>238.52948815097832</t>
  </si>
  <si>
    <t>04716</t>
  </si>
  <si>
    <t>Nellikudur</t>
  </si>
  <si>
    <t>198.36300361333346</t>
  </si>
  <si>
    <t>04717</t>
  </si>
  <si>
    <t>Kesamudram</t>
  </si>
  <si>
    <t>206.69345053402355</t>
  </si>
  <si>
    <t>04718</t>
  </si>
  <si>
    <t>Mahabubabad</t>
  </si>
  <si>
    <t>242.8535331700819</t>
  </si>
  <si>
    <t>04719</t>
  </si>
  <si>
    <t>Narsimhulapet</t>
  </si>
  <si>
    <t>208.91695235664318</t>
  </si>
  <si>
    <t>04720</t>
  </si>
  <si>
    <t>Maripeda</t>
  </si>
  <si>
    <t>298.35910631814886</t>
  </si>
  <si>
    <t>04721</t>
  </si>
  <si>
    <t>Kuravi</t>
  </si>
  <si>
    <t>232.78117237913679</t>
  </si>
  <si>
    <t>04722</t>
  </si>
  <si>
    <t>Dornakal</t>
  </si>
  <si>
    <t>214.65502157630675</t>
  </si>
  <si>
    <t>04723</t>
  </si>
  <si>
    <t>Wazeed</t>
  </si>
  <si>
    <t>647.85553449421047</t>
  </si>
  <si>
    <t>04724</t>
  </si>
  <si>
    <t>Venkatapuram</t>
  </si>
  <si>
    <t>576.27628190437713</t>
  </si>
  <si>
    <t>04725</t>
  </si>
  <si>
    <t>Pinapaka</t>
  </si>
  <si>
    <t>465.58682302125857</t>
  </si>
  <si>
    <t>04726</t>
  </si>
  <si>
    <t>Cherla</t>
  </si>
  <si>
    <t>470.4224176438828</t>
  </si>
  <si>
    <t>04727</t>
  </si>
  <si>
    <t>Manuguru</t>
  </si>
  <si>
    <t>332.10988389933539</t>
  </si>
  <si>
    <t>04728</t>
  </si>
  <si>
    <t>Aswapuram</t>
  </si>
  <si>
    <t>212.52749670808586</t>
  </si>
  <si>
    <t>04729</t>
  </si>
  <si>
    <t>Dummugudem</t>
  </si>
  <si>
    <t>318.85869434334563</t>
  </si>
  <si>
    <t>04730</t>
  </si>
  <si>
    <t>Bhadrachalam</t>
  </si>
  <si>
    <t>394.54716468116015</t>
  </si>
  <si>
    <t>04731</t>
  </si>
  <si>
    <t>Kunavaram</t>
  </si>
  <si>
    <t>214.26042439473449</t>
  </si>
  <si>
    <t>04732</t>
  </si>
  <si>
    <t>Chintur</t>
  </si>
  <si>
    <t>1031.4240315557645</t>
  </si>
  <si>
    <t>04733</t>
  </si>
  <si>
    <t>Vararamachandrapuram</t>
  </si>
  <si>
    <t>472.43551926789377</t>
  </si>
  <si>
    <t>04734</t>
  </si>
  <si>
    <t>Velairpadu</t>
  </si>
  <si>
    <t>480.14549095160589</t>
  </si>
  <si>
    <t>04735</t>
  </si>
  <si>
    <t>Kukunoor</t>
  </si>
  <si>
    <t>307.93191078621396</t>
  </si>
  <si>
    <t>04736</t>
  </si>
  <si>
    <t>Burgampahad</t>
  </si>
  <si>
    <t>255.2280801246072</t>
  </si>
  <si>
    <t>04737</t>
  </si>
  <si>
    <t>Palwancha</t>
  </si>
  <si>
    <t>470.19412776899503</t>
  </si>
  <si>
    <t>04738</t>
  </si>
  <si>
    <t>506.90729037595793</t>
  </si>
  <si>
    <t>04739</t>
  </si>
  <si>
    <t>Tekulapalle</t>
  </si>
  <si>
    <t>388.68426562154053</t>
  </si>
  <si>
    <t>04740</t>
  </si>
  <si>
    <t>Yellandu</t>
  </si>
  <si>
    <t>418.83928273172546</t>
  </si>
  <si>
    <t>04741</t>
  </si>
  <si>
    <t>972.30733077230832</t>
  </si>
  <si>
    <t>04742</t>
  </si>
  <si>
    <t>Bayyaram</t>
  </si>
  <si>
    <t>348.78542157864274</t>
  </si>
  <si>
    <t>04743</t>
  </si>
  <si>
    <t>Garla</t>
  </si>
  <si>
    <t>168.08360879242102</t>
  </si>
  <si>
    <t>04744</t>
  </si>
  <si>
    <t>Singareni</t>
  </si>
  <si>
    <t>256.07897874918916</t>
  </si>
  <si>
    <t>04745</t>
  </si>
  <si>
    <t>Kamepalle</t>
  </si>
  <si>
    <t>163.18575329482732</t>
  </si>
  <si>
    <t>04746</t>
  </si>
  <si>
    <t>Julurpad</t>
  </si>
  <si>
    <t>332.67023177406008</t>
  </si>
  <si>
    <t>04747</t>
  </si>
  <si>
    <t>Chandrugonda</t>
  </si>
  <si>
    <t>331.44576789966169</t>
  </si>
  <si>
    <t>04748</t>
  </si>
  <si>
    <t>Mulkalapalle</t>
  </si>
  <si>
    <t>545.30149660709503</t>
  </si>
  <si>
    <t>04749</t>
  </si>
  <si>
    <t>Aswaraopeta</t>
  </si>
  <si>
    <t>546.41181554404955</t>
  </si>
  <si>
    <t>04750</t>
  </si>
  <si>
    <t>Dammapeta</t>
  </si>
  <si>
    <t>484.57638988692906</t>
  </si>
  <si>
    <t>04751</t>
  </si>
  <si>
    <t>Sathupalle</t>
  </si>
  <si>
    <t>277.84953136349333</t>
  </si>
  <si>
    <t>04752</t>
  </si>
  <si>
    <t>Penuballi</t>
  </si>
  <si>
    <t>258.38263112305737</t>
  </si>
  <si>
    <t>04753</t>
  </si>
  <si>
    <t>Enkuru</t>
  </si>
  <si>
    <t>206.78911939840512</t>
  </si>
  <si>
    <t>04754</t>
  </si>
  <si>
    <t>Thirumalayapalem</t>
  </si>
  <si>
    <t>244.36355744244491</t>
  </si>
  <si>
    <t>04755</t>
  </si>
  <si>
    <t>Kusumanchi</t>
  </si>
  <si>
    <t>224.36743976476893</t>
  </si>
  <si>
    <t>04756</t>
  </si>
  <si>
    <t>Khammam (Rural)</t>
  </si>
  <si>
    <t>201.09224933870397</t>
  </si>
  <si>
    <t>04757</t>
  </si>
  <si>
    <t>Khammam (Urban)</t>
  </si>
  <si>
    <t>294.26564873042815</t>
  </si>
  <si>
    <t>04758</t>
  </si>
  <si>
    <t>Mudigonda</t>
  </si>
  <si>
    <t>179.17642134947113</t>
  </si>
  <si>
    <t>04759</t>
  </si>
  <si>
    <t>Nelakondapalle</t>
  </si>
  <si>
    <t>202.61764077545453</t>
  </si>
  <si>
    <t>04760</t>
  </si>
  <si>
    <t>Chinthakani</t>
  </si>
  <si>
    <t>205.50239464903726</t>
  </si>
  <si>
    <t>04761</t>
  </si>
  <si>
    <t>Konijerla</t>
  </si>
  <si>
    <t>215.31885926921447</t>
  </si>
  <si>
    <t>04762</t>
  </si>
  <si>
    <t>Tallada</t>
  </si>
  <si>
    <t>176.46807328830175</t>
  </si>
  <si>
    <t>04763</t>
  </si>
  <si>
    <t>Kallur</t>
  </si>
  <si>
    <t>237.90918007061595</t>
  </si>
  <si>
    <t>04764</t>
  </si>
  <si>
    <t>Wyra</t>
  </si>
  <si>
    <t>146.86302724034664</t>
  </si>
  <si>
    <t>04765</t>
  </si>
  <si>
    <t>Bonakal</t>
  </si>
  <si>
    <t>170.79195685359042</t>
  </si>
  <si>
    <t>04766</t>
  </si>
  <si>
    <t>Madhira</t>
  </si>
  <si>
    <t>204.64111921196042</t>
  </si>
  <si>
    <t>04767</t>
  </si>
  <si>
    <t>Yerrupalem</t>
  </si>
  <si>
    <t>257.49022524849579</t>
  </si>
  <si>
    <t>04768</t>
  </si>
  <si>
    <t>Vemsoor</t>
  </si>
  <si>
    <t>212.02940970833058</t>
  </si>
  <si>
    <t>04769</t>
  </si>
  <si>
    <t>Veeraghattam</t>
  </si>
  <si>
    <t>142.54560186777124</t>
  </si>
  <si>
    <t>04770</t>
  </si>
  <si>
    <t>Seethampeta</t>
  </si>
  <si>
    <t>417.8791891277092</t>
  </si>
  <si>
    <t>04771</t>
  </si>
  <si>
    <t>Bhamini</t>
  </si>
  <si>
    <t>150.58431333132307</t>
  </si>
  <si>
    <t>04772</t>
  </si>
  <si>
    <t>Kothuru</t>
  </si>
  <si>
    <t>205.79513060468034</t>
  </si>
  <si>
    <t>04773</t>
  </si>
  <si>
    <t>Pathapatnam</t>
  </si>
  <si>
    <t>158.25248239706713</t>
  </si>
  <si>
    <t>04774</t>
  </si>
  <si>
    <t>Meliaputti</t>
  </si>
  <si>
    <t>214.92488357288838</t>
  </si>
  <si>
    <t>04775</t>
  </si>
  <si>
    <t>Palasa</t>
  </si>
  <si>
    <t>137.11098003325733</t>
  </si>
  <si>
    <t>04776</t>
  </si>
  <si>
    <t>Mandasa</t>
  </si>
  <si>
    <t>240.53348039915849</t>
  </si>
  <si>
    <t>04777</t>
  </si>
  <si>
    <t>Kanchili</t>
  </si>
  <si>
    <t>115.70186371547523</t>
  </si>
  <si>
    <t>04778</t>
  </si>
  <si>
    <t>Ichchapuram</t>
  </si>
  <si>
    <t>96.361609118786518</t>
  </si>
  <si>
    <t>04779</t>
  </si>
  <si>
    <t>Kaviti</t>
  </si>
  <si>
    <t>120.18954386670264</t>
  </si>
  <si>
    <t>04780</t>
  </si>
  <si>
    <t>Sompeta</t>
  </si>
  <si>
    <t>158.47892497350523</t>
  </si>
  <si>
    <t>04781</t>
  </si>
  <si>
    <t>Vajrapukothuru</t>
  </si>
  <si>
    <t>142.72058022229157</t>
  </si>
  <si>
    <t>04782</t>
  </si>
  <si>
    <t>Nandigam</t>
  </si>
  <si>
    <t>154.90730797241369</t>
  </si>
  <si>
    <t>04783</t>
  </si>
  <si>
    <t>Hiramandalam</t>
  </si>
  <si>
    <t>164.89136702445629</t>
  </si>
  <si>
    <t>04784</t>
  </si>
  <si>
    <t>Palakonda</t>
  </si>
  <si>
    <t>101.80652379768397</t>
  </si>
  <si>
    <t>04785</t>
  </si>
  <si>
    <t>Vangara</t>
  </si>
  <si>
    <t>119.92192991273036</t>
  </si>
  <si>
    <t>04786</t>
  </si>
  <si>
    <t>Regidi Amadalavalasa</t>
  </si>
  <si>
    <t>150.64607039762438</t>
  </si>
  <si>
    <t>04787</t>
  </si>
  <si>
    <t>Lakshminarsupeta</t>
  </si>
  <si>
    <t>68.066579908410077</t>
  </si>
  <si>
    <t>04788</t>
  </si>
  <si>
    <t>Saravakota</t>
  </si>
  <si>
    <t>196.26395670551392</t>
  </si>
  <si>
    <t>04789</t>
  </si>
  <si>
    <t>Tekkali</t>
  </si>
  <si>
    <t>134.8465542688765</t>
  </si>
  <si>
    <t>04790</t>
  </si>
  <si>
    <t>Santhabommali</t>
  </si>
  <si>
    <t>206.85529357618591</t>
  </si>
  <si>
    <t>04791</t>
  </si>
  <si>
    <t>Kotabommali</t>
  </si>
  <si>
    <t>144.56299936694685</t>
  </si>
  <si>
    <t>04792</t>
  </si>
  <si>
    <t>Jalumuru</t>
  </si>
  <si>
    <t>148.47428023269552</t>
  </si>
  <si>
    <t>04793</t>
  </si>
  <si>
    <t>Sarubujjili</t>
  </si>
  <si>
    <t>73.532080276074637</t>
  </si>
  <si>
    <t>04794</t>
  </si>
  <si>
    <t>Burja</t>
  </si>
  <si>
    <t>120.08661542286714</t>
  </si>
  <si>
    <t>04795</t>
  </si>
  <si>
    <t>Santhakaviti</t>
  </si>
  <si>
    <t>134.95977555709558</t>
  </si>
  <si>
    <t>04796</t>
  </si>
  <si>
    <t>Rajam</t>
  </si>
  <si>
    <t>126.73579289463984</t>
  </si>
  <si>
    <t>04797</t>
  </si>
  <si>
    <t>Ganguvarisigadam</t>
  </si>
  <si>
    <t>144.50124230064554</t>
  </si>
  <si>
    <t>04798</t>
  </si>
  <si>
    <t>Amadalavalasa</t>
  </si>
  <si>
    <t>114.96077891985969</t>
  </si>
  <si>
    <t>04799</t>
  </si>
  <si>
    <t>Narasannapeta</t>
  </si>
  <si>
    <t>121.94962025628953</t>
  </si>
  <si>
    <t>04800</t>
  </si>
  <si>
    <t>Polaki</t>
  </si>
  <si>
    <t>154.84555090611238</t>
  </si>
  <si>
    <t>04801</t>
  </si>
  <si>
    <t>Gara</t>
  </si>
  <si>
    <t>157.79959724419098</t>
  </si>
  <si>
    <t>04802</t>
  </si>
  <si>
    <t>Srikakulam</t>
  </si>
  <si>
    <t>136.411066615176</t>
  </si>
  <si>
    <t>04803</t>
  </si>
  <si>
    <t>Ponduru</t>
  </si>
  <si>
    <t>110.50397730178295</t>
  </si>
  <si>
    <t>04804</t>
  </si>
  <si>
    <t>Laveru</t>
  </si>
  <si>
    <t>164.22233213952563</t>
  </si>
  <si>
    <t>04805</t>
  </si>
  <si>
    <t>Ranastalam</t>
  </si>
  <si>
    <t>197.7975905186627</t>
  </si>
  <si>
    <t>04806</t>
  </si>
  <si>
    <t>Etcherla</t>
  </si>
  <si>
    <t>186.37253325292323</t>
  </si>
  <si>
    <t>04807</t>
  </si>
  <si>
    <t>Komarada</t>
  </si>
  <si>
    <t>322.36777314279175</t>
  </si>
  <si>
    <t>04808</t>
  </si>
  <si>
    <t>Gummalakshmipuram</t>
  </si>
  <si>
    <t>359.58785106146343</t>
  </si>
  <si>
    <t>04809</t>
  </si>
  <si>
    <t>Kurupam</t>
  </si>
  <si>
    <t>355.6585223339747</t>
  </si>
  <si>
    <t>04810</t>
  </si>
  <si>
    <t>Jiyyammavalasa</t>
  </si>
  <si>
    <t>211.20684635214795</t>
  </si>
  <si>
    <t>04811</t>
  </si>
  <si>
    <t>Garugubilli</t>
  </si>
  <si>
    <t>132.47916331215774</t>
  </si>
  <si>
    <t>04812</t>
  </si>
  <si>
    <t>Parvathipuram</t>
  </si>
  <si>
    <t>223.71122948493004</t>
  </si>
  <si>
    <t>04813</t>
  </si>
  <si>
    <t>Makkuva</t>
  </si>
  <si>
    <t>170.3288021871675</t>
  </si>
  <si>
    <t>04814</t>
  </si>
  <si>
    <t>Seethanagaram</t>
  </si>
  <si>
    <t>159.59370243168007</t>
  </si>
  <si>
    <t>04815</t>
  </si>
  <si>
    <t>Balijipeta</t>
  </si>
  <si>
    <t>155.83804569214655</t>
  </si>
  <si>
    <t>04816</t>
  </si>
  <si>
    <t>Bobbili</t>
  </si>
  <si>
    <t>223.74379298267166</t>
  </si>
  <si>
    <t>04817</t>
  </si>
  <si>
    <t>Salur</t>
  </si>
  <si>
    <t>485.43491533357798</t>
  </si>
  <si>
    <t>04818</t>
  </si>
  <si>
    <t>Pachipenta</t>
  </si>
  <si>
    <t>337.92227056403891</t>
  </si>
  <si>
    <t>04819</t>
  </si>
  <si>
    <t>Ramabhadrapuram</t>
  </si>
  <si>
    <t>155.7295006996745</t>
  </si>
  <si>
    <t>04820</t>
  </si>
  <si>
    <t>Badangi</t>
  </si>
  <si>
    <t>125.81450077437283</t>
  </si>
  <si>
    <t>04821</t>
  </si>
  <si>
    <t>Therlam</t>
  </si>
  <si>
    <t>170.14427569996499</t>
  </si>
  <si>
    <t>04822</t>
  </si>
  <si>
    <t>Merakamudidam</t>
  </si>
  <si>
    <t>186.89276803840494</t>
  </si>
  <si>
    <t>04823</t>
  </si>
  <si>
    <t>Dattirajeru</t>
  </si>
  <si>
    <t>154.94797675387562</t>
  </si>
  <si>
    <t>04824</t>
  </si>
  <si>
    <t>Mentada</t>
  </si>
  <si>
    <t>175.74519731152364</t>
  </si>
  <si>
    <t>04825</t>
  </si>
  <si>
    <t>Gajapathinagaram</t>
  </si>
  <si>
    <t>133.80341222031697</t>
  </si>
  <si>
    <t>04826</t>
  </si>
  <si>
    <t>Garividi</t>
  </si>
  <si>
    <t>150.8666850369259</t>
  </si>
  <si>
    <t>04827</t>
  </si>
  <si>
    <t>Cheepurupalle</t>
  </si>
  <si>
    <t>144.80987445698455</t>
  </si>
  <si>
    <t>04828</t>
  </si>
  <si>
    <t>Gurla</t>
  </si>
  <si>
    <t>184.56990519950267</t>
  </si>
  <si>
    <t>04829</t>
  </si>
  <si>
    <t>Bondapalle</t>
  </si>
  <si>
    <t>159.51772093694964</t>
  </si>
  <si>
    <t>04830</t>
  </si>
  <si>
    <t>Gantyada</t>
  </si>
  <si>
    <t>168.52695531213118</t>
  </si>
  <si>
    <t>04831</t>
  </si>
  <si>
    <t>Srungavarapukota</t>
  </si>
  <si>
    <t>139.33920683639238</t>
  </si>
  <si>
    <t>04832</t>
  </si>
  <si>
    <t>Vepada</t>
  </si>
  <si>
    <t>142.55213861356557</t>
  </si>
  <si>
    <t>04833</t>
  </si>
  <si>
    <t>Lakkavarapukota</t>
  </si>
  <si>
    <t>120.95168511162424</t>
  </si>
  <si>
    <t>04834</t>
  </si>
  <si>
    <t>Kothavalasa</t>
  </si>
  <si>
    <t>184.72186818896358</t>
  </si>
  <si>
    <t>04835</t>
  </si>
  <si>
    <t>Jami</t>
  </si>
  <si>
    <t>172.02210406973174</t>
  </si>
  <si>
    <t>04836</t>
  </si>
  <si>
    <t>Vizianagaram</t>
  </si>
  <si>
    <t>140.3486752663826</t>
  </si>
  <si>
    <t>04837</t>
  </si>
  <si>
    <t>Nellimarla</t>
  </si>
  <si>
    <t>165.80247600108231</t>
  </si>
  <si>
    <t>04838</t>
  </si>
  <si>
    <t>Pusapatirega</t>
  </si>
  <si>
    <t>149.9440526009133</t>
  </si>
  <si>
    <t>04839</t>
  </si>
  <si>
    <t>Denkada</t>
  </si>
  <si>
    <t>133.94452071053067</t>
  </si>
  <si>
    <t>04840</t>
  </si>
  <si>
    <t>Bhogapuram</t>
  </si>
  <si>
    <t>140.13158528143848</t>
  </si>
  <si>
    <t>04841</t>
  </si>
  <si>
    <t>Munchingi Puttu</t>
  </si>
  <si>
    <t>489.67062036585696</t>
  </si>
  <si>
    <t>04842</t>
  </si>
  <si>
    <t>Peda Bayalu</t>
  </si>
  <si>
    <t>503.44489814763023</t>
  </si>
  <si>
    <t>04843</t>
  </si>
  <si>
    <t>Dumbriguda</t>
  </si>
  <si>
    <t>302.8161010470688</t>
  </si>
  <si>
    <t>04844</t>
  </si>
  <si>
    <t>Araku Valley</t>
  </si>
  <si>
    <t>264.05984176324506</t>
  </si>
  <si>
    <t>04845</t>
  </si>
  <si>
    <t>Ananthagiri</t>
  </si>
  <si>
    <t>858.03841028086083</t>
  </si>
  <si>
    <t>04846</t>
  </si>
  <si>
    <t>Hukumpeta</t>
  </si>
  <si>
    <t>412.24728776945835</t>
  </si>
  <si>
    <t>04847</t>
  </si>
  <si>
    <t>Paderu</t>
  </si>
  <si>
    <t>327.58007239717762</t>
  </si>
  <si>
    <t>04848</t>
  </si>
  <si>
    <t>G.Madugula</t>
  </si>
  <si>
    <t>645.08213004323056</t>
  </si>
  <si>
    <t>04849</t>
  </si>
  <si>
    <t>Chintapalle</t>
  </si>
  <si>
    <t>697.68203397535433</t>
  </si>
  <si>
    <t>04850</t>
  </si>
  <si>
    <t>Gudem Kotha Veedhi</t>
  </si>
  <si>
    <t>735.53652399432826</t>
  </si>
  <si>
    <t>04851</t>
  </si>
  <si>
    <t>Koyyuru</t>
  </si>
  <si>
    <t>1051.2746813201252</t>
  </si>
  <si>
    <t>04852</t>
  </si>
  <si>
    <t>Nathavaram</t>
  </si>
  <si>
    <t>273.17662993535396</t>
  </si>
  <si>
    <t>04853</t>
  </si>
  <si>
    <t>Golugonda</t>
  </si>
  <si>
    <t>232.46818883641558</t>
  </si>
  <si>
    <t>04854</t>
  </si>
  <si>
    <t>Narsipatnam</t>
  </si>
  <si>
    <t>103.37645022982595</t>
  </si>
  <si>
    <t>04855</t>
  </si>
  <si>
    <t>Rolugunta</t>
  </si>
  <si>
    <t>122.74962509555735</t>
  </si>
  <si>
    <t>04856</t>
  </si>
  <si>
    <t>Ravikamatham</t>
  </si>
  <si>
    <t>187.62746440294524</t>
  </si>
  <si>
    <t>04857</t>
  </si>
  <si>
    <t>Madugula</t>
  </si>
  <si>
    <t>210.98427931779375</t>
  </si>
  <si>
    <t>04858</t>
  </si>
  <si>
    <t>Cheedikada</t>
  </si>
  <si>
    <t>116.75434591715964</t>
  </si>
  <si>
    <t>04859</t>
  </si>
  <si>
    <t>Devarapalle</t>
  </si>
  <si>
    <t>227.73142280786334</t>
  </si>
  <si>
    <t>04860</t>
  </si>
  <si>
    <t>K.Kotapadu</t>
  </si>
  <si>
    <t>141.03274920158003</t>
  </si>
  <si>
    <t>04861</t>
  </si>
  <si>
    <t>Sabbavaram</t>
  </si>
  <si>
    <t>186.02211692046521</t>
  </si>
  <si>
    <t>04862</t>
  </si>
  <si>
    <t>Pendurthi</t>
  </si>
  <si>
    <t>118.84526146532811</t>
  </si>
  <si>
    <t>04863</t>
  </si>
  <si>
    <t>Anandapuram</t>
  </si>
  <si>
    <t>177.08370069085407</t>
  </si>
  <si>
    <t>04864</t>
  </si>
  <si>
    <t>Padmanabham</t>
  </si>
  <si>
    <t>149.86216035522028</t>
  </si>
  <si>
    <t>04865</t>
  </si>
  <si>
    <t>Bheemunipatnam</t>
  </si>
  <si>
    <t>96.013652825611942</t>
  </si>
  <si>
    <t>04866</t>
  </si>
  <si>
    <t>Visakhapatnam (Rural)</t>
  </si>
  <si>
    <t>126.69</t>
  </si>
  <si>
    <t>04867</t>
  </si>
  <si>
    <t>Visakhapatnam (Urban)</t>
  </si>
  <si>
    <t>111.6</t>
  </si>
  <si>
    <t>04868</t>
  </si>
  <si>
    <t>Pedagantyada</t>
  </si>
  <si>
    <t>52.5</t>
  </si>
  <si>
    <t>04869</t>
  </si>
  <si>
    <t>Gajuwaka</t>
  </si>
  <si>
    <t>138.87</t>
  </si>
  <si>
    <t>04870</t>
  </si>
  <si>
    <t>Paravada</t>
  </si>
  <si>
    <t>129.6764021958879</t>
  </si>
  <si>
    <t>04871</t>
  </si>
  <si>
    <t>Anakapalle</t>
  </si>
  <si>
    <t>169.62180776303018</t>
  </si>
  <si>
    <t>04872</t>
  </si>
  <si>
    <t>Chodavaram</t>
  </si>
  <si>
    <t>119.04345251254786</t>
  </si>
  <si>
    <t>04873</t>
  </si>
  <si>
    <t>Butchayyapeta</t>
  </si>
  <si>
    <t>176.66749949169261</t>
  </si>
  <si>
    <t>04874</t>
  </si>
  <si>
    <t>Kotauratla</t>
  </si>
  <si>
    <t>232.88439003557704</t>
  </si>
  <si>
    <t>04875</t>
  </si>
  <si>
    <t>Makavarapalem</t>
  </si>
  <si>
    <t>194.78216120757853</t>
  </si>
  <si>
    <t>04876</t>
  </si>
  <si>
    <t>Kasimkota</t>
  </si>
  <si>
    <t>158.31500851914296</t>
  </si>
  <si>
    <t>04877</t>
  </si>
  <si>
    <t>Munagapaka</t>
  </si>
  <si>
    <t>79.950268448450529</t>
  </si>
  <si>
    <t>04878</t>
  </si>
  <si>
    <t>Atchutapuram</t>
  </si>
  <si>
    <t>110.58069479626418</t>
  </si>
  <si>
    <t>04879</t>
  </si>
  <si>
    <t>Yelamanchili</t>
  </si>
  <si>
    <t>128.75481382631602</t>
  </si>
  <si>
    <t>04880</t>
  </si>
  <si>
    <t>Nakkapalle</t>
  </si>
  <si>
    <t>204.16650729343408</t>
  </si>
  <si>
    <t>04881</t>
  </si>
  <si>
    <t>Payakaraopeta</t>
  </si>
  <si>
    <t>130.4889854894889</t>
  </si>
  <si>
    <t>04882</t>
  </si>
  <si>
    <t>S.Rayavaram</t>
  </si>
  <si>
    <t>147.39468181733429</t>
  </si>
  <si>
    <t>04883</t>
  </si>
  <si>
    <t>Rambilli</t>
  </si>
  <si>
    <t>135.324847041651</t>
  </si>
  <si>
    <t>04884</t>
  </si>
  <si>
    <t>Maredumilli</t>
  </si>
  <si>
    <t>04885</t>
  </si>
  <si>
    <t>Devipatnam</t>
  </si>
  <si>
    <t>342.24786242674605</t>
  </si>
  <si>
    <t>04886</t>
  </si>
  <si>
    <t>Y. Ramavaram</t>
  </si>
  <si>
    <t>911.98251513113644</t>
  </si>
  <si>
    <t>04887</t>
  </si>
  <si>
    <t>Addateegala</t>
  </si>
  <si>
    <t>519.1694687289845</t>
  </si>
  <si>
    <t>04888</t>
  </si>
  <si>
    <t>Rajavommangi</t>
  </si>
  <si>
    <t>455.54923623787107</t>
  </si>
  <si>
    <t>04889</t>
  </si>
  <si>
    <t>Kotananduru</t>
  </si>
  <si>
    <t>145.22970506292631</t>
  </si>
  <si>
    <t>04890</t>
  </si>
  <si>
    <t>Tuni</t>
  </si>
  <si>
    <t>217.02219233355751</t>
  </si>
  <si>
    <t>04891</t>
  </si>
  <si>
    <t>Rowthulapudi</t>
  </si>
  <si>
    <t>133.44932270150829</t>
  </si>
  <si>
    <t>04892</t>
  </si>
  <si>
    <t>Sankhavaram</t>
  </si>
  <si>
    <t>233.07887405130177</t>
  </si>
  <si>
    <t>04893</t>
  </si>
  <si>
    <t>Yeleswaram</t>
  </si>
  <si>
    <t>118.20472667883561</t>
  </si>
  <si>
    <t>04894</t>
  </si>
  <si>
    <t>Gangavaram</t>
  </si>
  <si>
    <t>343.44029205495247</t>
  </si>
  <si>
    <t>04895</t>
  </si>
  <si>
    <t>Rampachodavaram</t>
  </si>
  <si>
    <t>467.98751080795466</t>
  </si>
  <si>
    <t>04896</t>
  </si>
  <si>
    <t>209.89845326160054</t>
  </si>
  <si>
    <t>04897</t>
  </si>
  <si>
    <t>Gokavaram</t>
  </si>
  <si>
    <t>200.06090882889808</t>
  </si>
  <si>
    <t>04898</t>
  </si>
  <si>
    <t>Jaggampeta</t>
  </si>
  <si>
    <t>182.58564703621866</t>
  </si>
  <si>
    <t>04899</t>
  </si>
  <si>
    <t>Kirlampudi</t>
  </si>
  <si>
    <t>78.566721106734562</t>
  </si>
  <si>
    <t>04900</t>
  </si>
  <si>
    <t>Prathipadu</t>
  </si>
  <si>
    <t>272.43933134787198</t>
  </si>
  <si>
    <t>04901</t>
  </si>
  <si>
    <t>Thondangi</t>
  </si>
  <si>
    <t>174.02276875780572</t>
  </si>
  <si>
    <t>04902</t>
  </si>
  <si>
    <t>Gollaprolu</t>
  </si>
  <si>
    <t>128.48429243923528</t>
  </si>
  <si>
    <t>04903</t>
  </si>
  <si>
    <t>Peddapuram</t>
  </si>
  <si>
    <t>151.48996061100971</t>
  </si>
  <si>
    <t>04904</t>
  </si>
  <si>
    <t>Gandepalle</t>
  </si>
  <si>
    <t>152.78518589682005</t>
  </si>
  <si>
    <t>04905</t>
  </si>
  <si>
    <t>Korukonda</t>
  </si>
  <si>
    <t>185.58728023825535</t>
  </si>
  <si>
    <t>04906</t>
  </si>
  <si>
    <t>Rajahmundry (Urban)</t>
  </si>
  <si>
    <t>44.5</t>
  </si>
  <si>
    <t>04907</t>
  </si>
  <si>
    <t>Rajahmundry Rural</t>
  </si>
  <si>
    <t>134.90902103948505</t>
  </si>
  <si>
    <t>04908</t>
  </si>
  <si>
    <t>Rajanagaram</t>
  </si>
  <si>
    <t>234.92919588817369</t>
  </si>
  <si>
    <t>04909</t>
  </si>
  <si>
    <t>Rangampeta</t>
  </si>
  <si>
    <t>151.67499279469692</t>
  </si>
  <si>
    <t>04910</t>
  </si>
  <si>
    <t>Samalkota</t>
  </si>
  <si>
    <t>147.27533864924584</t>
  </si>
  <si>
    <t>04911</t>
  </si>
  <si>
    <t>Pithapuram</t>
  </si>
  <si>
    <t>125.86300317033336</t>
  </si>
  <si>
    <t>04912</t>
  </si>
  <si>
    <t>Kothapalle</t>
  </si>
  <si>
    <t>108.01767701027956</t>
  </si>
  <si>
    <t>04913</t>
  </si>
  <si>
    <t>Kakinada (Rural)</t>
  </si>
  <si>
    <t>90.943318282255731</t>
  </si>
  <si>
    <t>04914</t>
  </si>
  <si>
    <t>Kakinada (Urban)</t>
  </si>
  <si>
    <t>30.51</t>
  </si>
  <si>
    <t>04915</t>
  </si>
  <si>
    <t>Pedapudi</t>
  </si>
  <si>
    <t>106.35238735709481</t>
  </si>
  <si>
    <t>04916</t>
  </si>
  <si>
    <t>Biccavolu</t>
  </si>
  <si>
    <t>101.72658276491497</t>
  </si>
  <si>
    <t>04917</t>
  </si>
  <si>
    <t>Anaparthy</t>
  </si>
  <si>
    <t>58.922470938610815</t>
  </si>
  <si>
    <t>04918</t>
  </si>
  <si>
    <t>Kadiam</t>
  </si>
  <si>
    <t>54.841483331732157</t>
  </si>
  <si>
    <t>04919</t>
  </si>
  <si>
    <t>Atreyapuram</t>
  </si>
  <si>
    <t>109.26150446728793</t>
  </si>
  <si>
    <t>04920</t>
  </si>
  <si>
    <t>Mandapeta</t>
  </si>
  <si>
    <t>109.8268805841099</t>
  </si>
  <si>
    <t>04921</t>
  </si>
  <si>
    <t>Rayavaram</t>
  </si>
  <si>
    <t>76.891151887789405</t>
  </si>
  <si>
    <t>04922</t>
  </si>
  <si>
    <t>Karapa</t>
  </si>
  <si>
    <t>96.576520318954749</t>
  </si>
  <si>
    <t>04923</t>
  </si>
  <si>
    <t>Kajuluru</t>
  </si>
  <si>
    <t>114.81246997790373</t>
  </si>
  <si>
    <t>04924</t>
  </si>
  <si>
    <t>108.14103179940436</t>
  </si>
  <si>
    <t>04925</t>
  </si>
  <si>
    <t>Alamuru</t>
  </si>
  <si>
    <t>77.507925833413395</t>
  </si>
  <si>
    <t>04926</t>
  </si>
  <si>
    <t>Ravulapalem</t>
  </si>
  <si>
    <t>95.836391584205984</t>
  </si>
  <si>
    <t>04927</t>
  </si>
  <si>
    <t>Kothapeta</t>
  </si>
  <si>
    <t>85.885771928139107</t>
  </si>
  <si>
    <t>04928</t>
  </si>
  <si>
    <t>Kapileswarapuram</t>
  </si>
  <si>
    <t>119.24296282063598</t>
  </si>
  <si>
    <t>04929</t>
  </si>
  <si>
    <t>Pamarru</t>
  </si>
  <si>
    <t>127.08627149582092</t>
  </si>
  <si>
    <t>04930</t>
  </si>
  <si>
    <t>Thallarevu</t>
  </si>
  <si>
    <t>247.27495436641368</t>
  </si>
  <si>
    <t>04931</t>
  </si>
  <si>
    <t>I. Polavaram</t>
  </si>
  <si>
    <t>204.00826208089154</t>
  </si>
  <si>
    <t>04932</t>
  </si>
  <si>
    <t>Mummidivaram</t>
  </si>
  <si>
    <t>99.639830915553858</t>
  </si>
  <si>
    <t>04933</t>
  </si>
  <si>
    <t>Ainavilli</t>
  </si>
  <si>
    <t>98.077336919973092</t>
  </si>
  <si>
    <t>04934</t>
  </si>
  <si>
    <t>P.Gannavaram</t>
  </si>
  <si>
    <t>115.20309347679891</t>
  </si>
  <si>
    <t>04935</t>
  </si>
  <si>
    <t>Ambajipeta</t>
  </si>
  <si>
    <t>54.019118070900177</t>
  </si>
  <si>
    <t>04936</t>
  </si>
  <si>
    <t>Mamidikuduru</t>
  </si>
  <si>
    <t>100.63694879431262</t>
  </si>
  <si>
    <t>04937</t>
  </si>
  <si>
    <t>Razole</t>
  </si>
  <si>
    <t>86.93428763569986</t>
  </si>
  <si>
    <t>04938</t>
  </si>
  <si>
    <t>Malikipuram</t>
  </si>
  <si>
    <t>94.798155442405601</t>
  </si>
  <si>
    <t>04939</t>
  </si>
  <si>
    <t>Sakhinetipalle</t>
  </si>
  <si>
    <t>121.71005860313191</t>
  </si>
  <si>
    <t>04940</t>
  </si>
  <si>
    <t>Allavaram</t>
  </si>
  <si>
    <t>109.22038620424632</t>
  </si>
  <si>
    <t>04941</t>
  </si>
  <si>
    <t>Amalapuram</t>
  </si>
  <si>
    <t>80.057258141992506</t>
  </si>
  <si>
    <t>04942</t>
  </si>
  <si>
    <t>Uppalaguptam</t>
  </si>
  <si>
    <t>120.04476894994716</t>
  </si>
  <si>
    <t>04943</t>
  </si>
  <si>
    <t>Katrenikona</t>
  </si>
  <si>
    <t>170.58939379383224</t>
  </si>
  <si>
    <t>546</t>
  </si>
  <si>
    <t>04944</t>
  </si>
  <si>
    <t>Chintalapudi</t>
  </si>
  <si>
    <t>342.66524953715788</t>
  </si>
  <si>
    <t>04945</t>
  </si>
  <si>
    <t>Lingapalem</t>
  </si>
  <si>
    <t>207.77633296535672</t>
  </si>
  <si>
    <t>04946</t>
  </si>
  <si>
    <t>T.Narasapuram</t>
  </si>
  <si>
    <t>284.41892875081004</t>
  </si>
  <si>
    <t>04947</t>
  </si>
  <si>
    <t>Jeelugu Milli</t>
  </si>
  <si>
    <t>215.09175074246895</t>
  </si>
  <si>
    <t>04948</t>
  </si>
  <si>
    <t>Buttayagudem</t>
  </si>
  <si>
    <t>549.61051821086505</t>
  </si>
  <si>
    <t>04949</t>
  </si>
  <si>
    <t>Polavaram</t>
  </si>
  <si>
    <t>400.47038804522265</t>
  </si>
  <si>
    <t>04950</t>
  </si>
  <si>
    <t>Tallapudi</t>
  </si>
  <si>
    <t>88.893099047545832</t>
  </si>
  <si>
    <t>04951</t>
  </si>
  <si>
    <t>Gopalapuram</t>
  </si>
  <si>
    <t>202.99514827512633</t>
  </si>
  <si>
    <t>04952</t>
  </si>
  <si>
    <t>Koyyalagudem</t>
  </si>
  <si>
    <t>180.65901293042327</t>
  </si>
  <si>
    <t>04953</t>
  </si>
  <si>
    <t>Jangareddigudem</t>
  </si>
  <si>
    <t>219.4317531544163</t>
  </si>
  <si>
    <t>04954</t>
  </si>
  <si>
    <t>Kamavarapukota</t>
  </si>
  <si>
    <t>212.46517717873724</t>
  </si>
  <si>
    <t>04955</t>
  </si>
  <si>
    <t>Dwarakatirumala</t>
  </si>
  <si>
    <t>247.4314377459159</t>
  </si>
  <si>
    <t>04956</t>
  </si>
  <si>
    <t>Nallajerla</t>
  </si>
  <si>
    <t>240.58798240603676</t>
  </si>
  <si>
    <t>04957</t>
  </si>
  <si>
    <t>217.96456557780053</t>
  </si>
  <si>
    <t>04958</t>
  </si>
  <si>
    <t>Kovvur</t>
  </si>
  <si>
    <t>101.82076580653796</t>
  </si>
  <si>
    <t>04959</t>
  </si>
  <si>
    <t>Chagallu</t>
  </si>
  <si>
    <t>107.50483515930117</t>
  </si>
  <si>
    <t>04960</t>
  </si>
  <si>
    <t>Nidadavole</t>
  </si>
  <si>
    <t>131.49283903431987</t>
  </si>
  <si>
    <t>04961</t>
  </si>
  <si>
    <t>Tadepalligudem</t>
  </si>
  <si>
    <t>217.17454149808432</t>
  </si>
  <si>
    <t>04962</t>
  </si>
  <si>
    <t>Unguturu</t>
  </si>
  <si>
    <t>202.55396599684323</t>
  </si>
  <si>
    <t>04963</t>
  </si>
  <si>
    <t>Bhimadole</t>
  </si>
  <si>
    <t>215.82021450428516</t>
  </si>
  <si>
    <t>04964</t>
  </si>
  <si>
    <t>Pedavegi</t>
  </si>
  <si>
    <t>259.65116084905844</t>
  </si>
  <si>
    <t>04965</t>
  </si>
  <si>
    <t>Pedapadu</t>
  </si>
  <si>
    <t>171.18898402681236</t>
  </si>
  <si>
    <t>04966</t>
  </si>
  <si>
    <t>Eluru</t>
  </si>
  <si>
    <t>234.66793183465703</t>
  </si>
  <si>
    <t>04967</t>
  </si>
  <si>
    <t>Denduluru</t>
  </si>
  <si>
    <t>185.38889735573704</t>
  </si>
  <si>
    <t>04968</t>
  </si>
  <si>
    <t>Nidamarru</t>
  </si>
  <si>
    <t>116.41056114882906</t>
  </si>
  <si>
    <t>04969</t>
  </si>
  <si>
    <t>Pentapadu</t>
  </si>
  <si>
    <t>117.53916697699505</t>
  </si>
  <si>
    <t>04970</t>
  </si>
  <si>
    <t>Undrajavaram</t>
  </si>
  <si>
    <t>81.095458780217257</t>
  </si>
  <si>
    <t>04971</t>
  </si>
  <si>
    <t>Peravali</t>
  </si>
  <si>
    <t>79.18708892531842</t>
  </si>
  <si>
    <t>04972</t>
  </si>
  <si>
    <t>Tanuku</t>
  </si>
  <si>
    <t>77.227418805502936</t>
  </si>
  <si>
    <t>04973</t>
  </si>
  <si>
    <t>Attili</t>
  </si>
  <si>
    <t>85.332860662331342</t>
  </si>
  <si>
    <t>04974</t>
  </si>
  <si>
    <t>Ganapavaram</t>
  </si>
  <si>
    <t>100.83580072013856</t>
  </si>
  <si>
    <t>04975</t>
  </si>
  <si>
    <t>Akividu</t>
  </si>
  <si>
    <t>119.88871911017695</t>
  </si>
  <si>
    <t>04976</t>
  </si>
  <si>
    <t>Undi</t>
  </si>
  <si>
    <t>130.00513135173745</t>
  </si>
  <si>
    <t>04977</t>
  </si>
  <si>
    <t>Palacoderu</t>
  </si>
  <si>
    <t>88.595557511029341</t>
  </si>
  <si>
    <t>04978</t>
  </si>
  <si>
    <t>Penumantra</t>
  </si>
  <si>
    <t>82.008603495733368</t>
  </si>
  <si>
    <t>04979</t>
  </si>
  <si>
    <t>Iragavaram</t>
  </si>
  <si>
    <t>79.628271203601486</t>
  </si>
  <si>
    <t>04980</t>
  </si>
  <si>
    <t>Penugonda</t>
  </si>
  <si>
    <t>67.716349689958747</t>
  </si>
  <si>
    <t>04981</t>
  </si>
  <si>
    <t>Achanta</t>
  </si>
  <si>
    <t>67.829210272775342</t>
  </si>
  <si>
    <t>04982</t>
  </si>
  <si>
    <t>Poduru</t>
  </si>
  <si>
    <t>91.69409351199414</t>
  </si>
  <si>
    <t>04983</t>
  </si>
  <si>
    <t>Veeravasaram</t>
  </si>
  <si>
    <t>101.50270416405483</t>
  </si>
  <si>
    <t>04984</t>
  </si>
  <si>
    <t>Bhimavaram</t>
  </si>
  <si>
    <t>194.48956435194816</t>
  </si>
  <si>
    <t>04985</t>
  </si>
  <si>
    <t>Kalla</t>
  </si>
  <si>
    <t>158.10741647307032</t>
  </si>
  <si>
    <t>04986</t>
  </si>
  <si>
    <t>Mogalthur</t>
  </si>
  <si>
    <t>139.63932110308158</t>
  </si>
  <si>
    <t>04987</t>
  </si>
  <si>
    <t>Narasapuram</t>
  </si>
  <si>
    <t>157.5225934530207</t>
  </si>
  <si>
    <t>04988</t>
  </si>
  <si>
    <t>Palacole</t>
  </si>
  <si>
    <t>86.410166225580681</t>
  </si>
  <si>
    <t>04989</t>
  </si>
  <si>
    <t>81.60846142938361</t>
  </si>
  <si>
    <t>04990</t>
  </si>
  <si>
    <t>Vatsavai</t>
  </si>
  <si>
    <t>192.51229999369232</t>
  </si>
  <si>
    <t>04991</t>
  </si>
  <si>
    <t>Jaggayyapeta</t>
  </si>
  <si>
    <t>271.39290244808427</t>
  </si>
  <si>
    <t>04992</t>
  </si>
  <si>
    <t>Penuganchiprolu</t>
  </si>
  <si>
    <t>163.67368221862452</t>
  </si>
  <si>
    <t>04993</t>
  </si>
  <si>
    <t>Nandigama</t>
  </si>
  <si>
    <t>183.35815408983552</t>
  </si>
  <si>
    <t>04994</t>
  </si>
  <si>
    <t>Veerullapadu</t>
  </si>
  <si>
    <t>206.67166375812116</t>
  </si>
  <si>
    <t>04995</t>
  </si>
  <si>
    <t>Mylavaram</t>
  </si>
  <si>
    <t>196.7427794481473</t>
  </si>
  <si>
    <t>04996</t>
  </si>
  <si>
    <t>Gampalagudem</t>
  </si>
  <si>
    <t>220.01551341084786</t>
  </si>
  <si>
    <t>04997</t>
  </si>
  <si>
    <t>Tiruvuru</t>
  </si>
  <si>
    <t>194.36759459781473</t>
  </si>
  <si>
    <t>04998</t>
  </si>
  <si>
    <t>A.Konduru</t>
  </si>
  <si>
    <t>199.19951570965006</t>
  </si>
  <si>
    <t>04999</t>
  </si>
  <si>
    <t>Reddigudem</t>
  </si>
  <si>
    <t>174.86661340173671</t>
  </si>
  <si>
    <t>05000</t>
  </si>
  <si>
    <t>Vissannapet</t>
  </si>
  <si>
    <t>205.86634357281525</t>
  </si>
  <si>
    <t>05001</t>
  </si>
  <si>
    <t>Chatrai</t>
  </si>
  <si>
    <t>234.24623466005062</t>
  </si>
  <si>
    <t>05002</t>
  </si>
  <si>
    <t>Musunuru</t>
  </si>
  <si>
    <t>210.50458008312134</t>
  </si>
  <si>
    <t>05003</t>
  </si>
  <si>
    <t>Nuzvid</t>
  </si>
  <si>
    <t>280.14948522248619</t>
  </si>
  <si>
    <t>05004</t>
  </si>
  <si>
    <t>Bapulapadu</t>
  </si>
  <si>
    <t>221.80964445659259</t>
  </si>
  <si>
    <t>05005</t>
  </si>
  <si>
    <t>Agiripalle</t>
  </si>
  <si>
    <t>216.90636585998334</t>
  </si>
  <si>
    <t>05006</t>
  </si>
  <si>
    <t>G.Konduru</t>
  </si>
  <si>
    <t>241.48392240140731</t>
  </si>
  <si>
    <t>05007</t>
  </si>
  <si>
    <t>Kanchikacherla</t>
  </si>
  <si>
    <t>188.79151685905117</t>
  </si>
  <si>
    <t>05008</t>
  </si>
  <si>
    <t>Chandarlapadu</t>
  </si>
  <si>
    <t>239.23106466783011</t>
  </si>
  <si>
    <t>05009</t>
  </si>
  <si>
    <t>155.25349901529967</t>
  </si>
  <si>
    <t>05010</t>
  </si>
  <si>
    <t>Vijayawada (Urban)</t>
  </si>
  <si>
    <t>59.69</t>
  </si>
  <si>
    <t>05011</t>
  </si>
  <si>
    <t>Vijayawada (Rural)</t>
  </si>
  <si>
    <t>187.08913115087293</t>
  </si>
  <si>
    <t>05012</t>
  </si>
  <si>
    <t>Gannavaram</t>
  </si>
  <si>
    <t>203.34844375293483</t>
  </si>
  <si>
    <t>05013</t>
  </si>
  <si>
    <t>147.41436961656262</t>
  </si>
  <si>
    <t>05014</t>
  </si>
  <si>
    <t>Nandivada</t>
  </si>
  <si>
    <t>152.41958747713466</t>
  </si>
  <si>
    <t>05015</t>
  </si>
  <si>
    <t>Mandavalli</t>
  </si>
  <si>
    <t>176.2529873916304</t>
  </si>
  <si>
    <t>05016</t>
  </si>
  <si>
    <t>Kaikalur</t>
  </si>
  <si>
    <t>162.00187828963507</t>
  </si>
  <si>
    <t>05017</t>
  </si>
  <si>
    <t>Kalidindi</t>
  </si>
  <si>
    <t>176.99714401855863</t>
  </si>
  <si>
    <t>05018</t>
  </si>
  <si>
    <t>Kruthivennu</t>
  </si>
  <si>
    <t>184.5304556254074</t>
  </si>
  <si>
    <t>05019</t>
  </si>
  <si>
    <t>Bantumilli</t>
  </si>
  <si>
    <t>126.55759620977973</t>
  </si>
  <si>
    <t>05020</t>
  </si>
  <si>
    <t>Mudinepalle</t>
  </si>
  <si>
    <t>175.43747327992824</t>
  </si>
  <si>
    <t>05021</t>
  </si>
  <si>
    <t>Gudivada</t>
  </si>
  <si>
    <t>116.77142686935375</t>
  </si>
  <si>
    <t>05022</t>
  </si>
  <si>
    <t>Pedaparupudi</t>
  </si>
  <si>
    <t>90.522066398940311</t>
  </si>
  <si>
    <t>05023</t>
  </si>
  <si>
    <t>Kankipadu</t>
  </si>
  <si>
    <t>112.78560164840941</t>
  </si>
  <si>
    <t>05024</t>
  </si>
  <si>
    <t>Penamaluru</t>
  </si>
  <si>
    <t>80.205812885907932</t>
  </si>
  <si>
    <t>05025</t>
  </si>
  <si>
    <t>Thotlavalluru</t>
  </si>
  <si>
    <t>107.22991176243842</t>
  </si>
  <si>
    <t>05026</t>
  </si>
  <si>
    <t>Pamidimukkala</t>
  </si>
  <si>
    <t>118.97331497094959</t>
  </si>
  <si>
    <t>05027</t>
  </si>
  <si>
    <t>Vuyyuru</t>
  </si>
  <si>
    <t>85.241612525668799</t>
  </si>
  <si>
    <t>05028</t>
  </si>
  <si>
    <t>120.89996705984595</t>
  </si>
  <si>
    <t>05029</t>
  </si>
  <si>
    <t>Gudlavalleru</t>
  </si>
  <si>
    <t>124.97753761835678</t>
  </si>
  <si>
    <t>05030</t>
  </si>
  <si>
    <t>Pedana</t>
  </si>
  <si>
    <t>141.02277776609688</t>
  </si>
  <si>
    <t>05031</t>
  </si>
  <si>
    <t>Guduru</t>
  </si>
  <si>
    <t>127.41388602706699</t>
  </si>
  <si>
    <t>05032</t>
  </si>
  <si>
    <t>Movva</t>
  </si>
  <si>
    <t>142.15430359608362</t>
  </si>
  <si>
    <t>05033</t>
  </si>
  <si>
    <t>Ghantasala</t>
  </si>
  <si>
    <t>117.50538956988569</t>
  </si>
  <si>
    <t>05034</t>
  </si>
  <si>
    <t>Machilipatnam</t>
  </si>
  <si>
    <t>405.2901256631834</t>
  </si>
  <si>
    <t>05035</t>
  </si>
  <si>
    <t>Challapalle</t>
  </si>
  <si>
    <t>93.213262967557455</t>
  </si>
  <si>
    <t>05036</t>
  </si>
  <si>
    <t>Mopidevi</t>
  </si>
  <si>
    <t>84.956182586573036</t>
  </si>
  <si>
    <t>05037</t>
  </si>
  <si>
    <t>Avanigadda</t>
  </si>
  <si>
    <t>74.752062263899703</t>
  </si>
  <si>
    <t>05038</t>
  </si>
  <si>
    <t>Nagayalanka</t>
  </si>
  <si>
    <t>417.55341911790475</t>
  </si>
  <si>
    <t>05039</t>
  </si>
  <si>
    <t>Koduru</t>
  </si>
  <si>
    <t>216.49860880413223</t>
  </si>
  <si>
    <t>05040</t>
  </si>
  <si>
    <t>Macherla</t>
  </si>
  <si>
    <t>302.92069148750284</t>
  </si>
  <si>
    <t>05041</t>
  </si>
  <si>
    <t>Veldurthi</t>
  </si>
  <si>
    <t>527.66</t>
  </si>
  <si>
    <t>05042</t>
  </si>
  <si>
    <t>Durgi</t>
  </si>
  <si>
    <t>05043</t>
  </si>
  <si>
    <t>Rentachintala</t>
  </si>
  <si>
    <t>198.18405316984044</t>
  </si>
  <si>
    <t>05044</t>
  </si>
  <si>
    <t>Gurazala</t>
  </si>
  <si>
    <t>261.26488591549423</t>
  </si>
  <si>
    <t>05045</t>
  </si>
  <si>
    <t>Dachepalle</t>
  </si>
  <si>
    <t>285.99706354376593</t>
  </si>
  <si>
    <t>05046</t>
  </si>
  <si>
    <t>Karempudi</t>
  </si>
  <si>
    <t>221.51783693303861</t>
  </si>
  <si>
    <t>05047</t>
  </si>
  <si>
    <t>Piduguralla</t>
  </si>
  <si>
    <t>261.34654395141098</t>
  </si>
  <si>
    <t>05048</t>
  </si>
  <si>
    <t>Machavaram</t>
  </si>
  <si>
    <t>199.78659212470575</t>
  </si>
  <si>
    <t>05049</t>
  </si>
  <si>
    <t>Bellamkonda</t>
  </si>
  <si>
    <t>357.50908849781939</t>
  </si>
  <si>
    <t>05050</t>
  </si>
  <si>
    <t>Atchampet</t>
  </si>
  <si>
    <t>211.46369126079441</t>
  </si>
  <si>
    <t>05051</t>
  </si>
  <si>
    <t>Krosuru</t>
  </si>
  <si>
    <t>163.49980241422045</t>
  </si>
  <si>
    <t>05052</t>
  </si>
  <si>
    <t>Amaravathi</t>
  </si>
  <si>
    <t>212.58648925464911</t>
  </si>
  <si>
    <t>05053</t>
  </si>
  <si>
    <t>Thullur</t>
  </si>
  <si>
    <t>185.27187624051163</t>
  </si>
  <si>
    <t>05054</t>
  </si>
  <si>
    <t>Tadepalle</t>
  </si>
  <si>
    <t>73.073734890960438</t>
  </si>
  <si>
    <t>05055</t>
  </si>
  <si>
    <t>Mangalagiri</t>
  </si>
  <si>
    <t>141.19695135447071</t>
  </si>
  <si>
    <t>05056</t>
  </si>
  <si>
    <t>Tadikonda</t>
  </si>
  <si>
    <t>186.9254514678249</t>
  </si>
  <si>
    <t>05057</t>
  </si>
  <si>
    <t>Pedakurapadu</t>
  </si>
  <si>
    <t>139.51275436368869</t>
  </si>
  <si>
    <t>05058</t>
  </si>
  <si>
    <t>Sattenapalle</t>
  </si>
  <si>
    <t>237.20638708353533</t>
  </si>
  <si>
    <t>05059</t>
  </si>
  <si>
    <t>Rajupalem</t>
  </si>
  <si>
    <t>165.42897351275258</t>
  </si>
  <si>
    <t>05060</t>
  </si>
  <si>
    <t>Nekarikallu</t>
  </si>
  <si>
    <t>251.57820140487524</t>
  </si>
  <si>
    <t>05061</t>
  </si>
  <si>
    <t>Bollapalle</t>
  </si>
  <si>
    <t>706.78092262254131</t>
  </si>
  <si>
    <t>05062</t>
  </si>
  <si>
    <t>Vinukonda</t>
  </si>
  <si>
    <t>281.3833845144722</t>
  </si>
  <si>
    <t>05063</t>
  </si>
  <si>
    <t>Nuzendla</t>
  </si>
  <si>
    <t>353.46701571994259</t>
  </si>
  <si>
    <t>05064</t>
  </si>
  <si>
    <t>Savalyapuram H/O Kanamarlapudi</t>
  </si>
  <si>
    <t>147.41316933862976</t>
  </si>
  <si>
    <t>05065</t>
  </si>
  <si>
    <t>Ipur</t>
  </si>
  <si>
    <t>203.98177371992642</t>
  </si>
  <si>
    <t>05066</t>
  </si>
  <si>
    <t>Rompicherla</t>
  </si>
  <si>
    <t>226.66229319579094</t>
  </si>
  <si>
    <t>05067</t>
  </si>
  <si>
    <t>Narasaraopet</t>
  </si>
  <si>
    <t>235.7875787094826</t>
  </si>
  <si>
    <t>05068</t>
  </si>
  <si>
    <t>Muppalla</t>
  </si>
  <si>
    <t>132.19415289465408</t>
  </si>
  <si>
    <t>05069</t>
  </si>
  <si>
    <t>Nadendla</t>
  </si>
  <si>
    <t>165.92912898274241</t>
  </si>
  <si>
    <t>05070</t>
  </si>
  <si>
    <t>Chilakaluripet
 H/O.Purushotha Patnam</t>
  </si>
  <si>
    <t>210.72876893754409</t>
  </si>
  <si>
    <t>05071</t>
  </si>
  <si>
    <t>Edlapadu</t>
  </si>
  <si>
    <t>182.35260145648948</t>
  </si>
  <si>
    <t>05072</t>
  </si>
  <si>
    <t>Phirangipuram</t>
  </si>
  <si>
    <t>147.22943875781721</t>
  </si>
  <si>
    <t>05073</t>
  </si>
  <si>
    <t>Medikonduru</t>
  </si>
  <si>
    <t>136.62410134313527</t>
  </si>
  <si>
    <t>05074</t>
  </si>
  <si>
    <t>Guntur</t>
  </si>
  <si>
    <t>193.08042592504646</t>
  </si>
  <si>
    <t>05075</t>
  </si>
  <si>
    <t>Pedakakani</t>
  </si>
  <si>
    <t>119.56777909103374</t>
  </si>
  <si>
    <t>05076</t>
  </si>
  <si>
    <t>Duggirala</t>
  </si>
  <si>
    <t>146.32099310824387</t>
  </si>
  <si>
    <t>05077</t>
  </si>
  <si>
    <t>Kollipara</t>
  </si>
  <si>
    <t>110.87119826590477</t>
  </si>
  <si>
    <t>05078</t>
  </si>
  <si>
    <t>Tenali</t>
  </si>
  <si>
    <t>114.21917773848963</t>
  </si>
  <si>
    <t>05079</t>
  </si>
  <si>
    <t>Chebrolu</t>
  </si>
  <si>
    <t>130.59161393978877</t>
  </si>
  <si>
    <t>05080</t>
  </si>
  <si>
    <t>Vatticherukuru</t>
  </si>
  <si>
    <t>116.77099136088663</t>
  </si>
  <si>
    <t>05081</t>
  </si>
  <si>
    <t>121.92565487812857</t>
  </si>
  <si>
    <t>05082</t>
  </si>
  <si>
    <t>Pedanandipadu</t>
  </si>
  <si>
    <t>05083</t>
  </si>
  <si>
    <t>Kakumanu</t>
  </si>
  <si>
    <t>179.4333266724673</t>
  </si>
  <si>
    <t>05084</t>
  </si>
  <si>
    <t>Ponnur</t>
  </si>
  <si>
    <t>172.24741951179737</t>
  </si>
  <si>
    <t>05085</t>
  </si>
  <si>
    <t>Tsundur</t>
  </si>
  <si>
    <t>105.50218240438149</t>
  </si>
  <si>
    <t>05086</t>
  </si>
  <si>
    <t>Amruthalur</t>
  </si>
  <si>
    <t>124.50809026399433</t>
  </si>
  <si>
    <t>05087</t>
  </si>
  <si>
    <t>Vemuru</t>
  </si>
  <si>
    <t>103.05244132688036</t>
  </si>
  <si>
    <t>05088</t>
  </si>
  <si>
    <t>Kollur</t>
  </si>
  <si>
    <t>117.9039966092309</t>
  </si>
  <si>
    <t>05089</t>
  </si>
  <si>
    <t>Bhattiprolu</t>
  </si>
  <si>
    <t>95.601145549481132</t>
  </si>
  <si>
    <t>05090</t>
  </si>
  <si>
    <t>Cherukupalle H/O Arumbaka</t>
  </si>
  <si>
    <t>97.479280375565324</t>
  </si>
  <si>
    <t>05091</t>
  </si>
  <si>
    <t>Pittalavanipalem</t>
  </si>
  <si>
    <t>71.43036691813677</t>
  </si>
  <si>
    <t>05092</t>
  </si>
  <si>
    <t>Karlapalem</t>
  </si>
  <si>
    <t>105.08368497030838</t>
  </si>
  <si>
    <t>05093</t>
  </si>
  <si>
    <t>Bapatla</t>
  </si>
  <si>
    <t>265.96022298070471</t>
  </si>
  <si>
    <t>05094</t>
  </si>
  <si>
    <t>Nizampatnam</t>
  </si>
  <si>
    <t>186.63964834211643</t>
  </si>
  <si>
    <t>05095</t>
  </si>
  <si>
    <t>Nagaram</t>
  </si>
  <si>
    <t>143.01384265361736</t>
  </si>
  <si>
    <t>05096</t>
  </si>
  <si>
    <t>Repalle</t>
  </si>
  <si>
    <t>267.13405724700732</t>
  </si>
  <si>
    <t>05097</t>
  </si>
  <si>
    <t>Yerragondapalem</t>
  </si>
  <si>
    <t>1147.1147080489918</t>
  </si>
  <si>
    <t>05098</t>
  </si>
  <si>
    <t>Pullalacheruvu</t>
  </si>
  <si>
    <t>692.52083282738749</t>
  </si>
  <si>
    <t>05099</t>
  </si>
  <si>
    <t>Tripuranthakam</t>
  </si>
  <si>
    <t>274.25043916102027</t>
  </si>
  <si>
    <t>05100</t>
  </si>
  <si>
    <t>Dornala</t>
  </si>
  <si>
    <t>885.32880815341889</t>
  </si>
  <si>
    <t>05101</t>
  </si>
  <si>
    <t>Peda  Araveedu</t>
  </si>
  <si>
    <t>270.78523609458352</t>
  </si>
  <si>
    <t>05102</t>
  </si>
  <si>
    <t>Donakonda</t>
  </si>
  <si>
    <t>347.57005933733228</t>
  </si>
  <si>
    <t>05103</t>
  </si>
  <si>
    <t>Kurichedu</t>
  </si>
  <si>
    <t>277.31816305218933</t>
  </si>
  <si>
    <t>05104</t>
  </si>
  <si>
    <t>Santhamaguluru</t>
  </si>
  <si>
    <t>208.31985493519846</t>
  </si>
  <si>
    <t>05105</t>
  </si>
  <si>
    <t>Ballikurava</t>
  </si>
  <si>
    <t>225.12608980741675</t>
  </si>
  <si>
    <t>05106</t>
  </si>
  <si>
    <t>Martur</t>
  </si>
  <si>
    <t>180.71033991467729</t>
  </si>
  <si>
    <t>05107</t>
  </si>
  <si>
    <t>Yeddana Pudi</t>
  </si>
  <si>
    <t>105.27083080360396</t>
  </si>
  <si>
    <t>05108</t>
  </si>
  <si>
    <t>Parchur</t>
  </si>
  <si>
    <t>222.68006411346141</t>
  </si>
  <si>
    <t>05109</t>
  </si>
  <si>
    <t>Karamchedu</t>
  </si>
  <si>
    <t>162.1613117355158</t>
  </si>
  <si>
    <t>05110</t>
  </si>
  <si>
    <t>Inkollu</t>
  </si>
  <si>
    <t>144.79452930843269</t>
  </si>
  <si>
    <t>05111</t>
  </si>
  <si>
    <t>Janakavarampanguluru</t>
  </si>
  <si>
    <t>169.163060284463</t>
  </si>
  <si>
    <t>05112</t>
  </si>
  <si>
    <t>Addanki</t>
  </si>
  <si>
    <t>259.7781204717844</t>
  </si>
  <si>
    <t>05113</t>
  </si>
  <si>
    <t>Mundlamuru</t>
  </si>
  <si>
    <t>329.75483886635743</t>
  </si>
  <si>
    <t>05114</t>
  </si>
  <si>
    <t>Darsi</t>
  </si>
  <si>
    <t>366.07832042159458</t>
  </si>
  <si>
    <t>05115</t>
  </si>
  <si>
    <t>Markapur</t>
  </si>
  <si>
    <t>307.00679991257255</t>
  </si>
  <si>
    <t>05116</t>
  </si>
  <si>
    <t>Ardhaveedu</t>
  </si>
  <si>
    <t>706.54471347273159</t>
  </si>
  <si>
    <t>05117</t>
  </si>
  <si>
    <t>Cumbum</t>
  </si>
  <si>
    <t>137.44626045284181</t>
  </si>
  <si>
    <t>05118</t>
  </si>
  <si>
    <t>Tarlupadu</t>
  </si>
  <si>
    <t>266.98370449522787</t>
  </si>
  <si>
    <t>05119</t>
  </si>
  <si>
    <t>Konakanamitla</t>
  </si>
  <si>
    <t>466.56920934826076</t>
  </si>
  <si>
    <t>05120</t>
  </si>
  <si>
    <t>Podili</t>
  </si>
  <si>
    <t>332.09894682306469</t>
  </si>
  <si>
    <t>05121</t>
  </si>
  <si>
    <t>Thallur</t>
  </si>
  <si>
    <t>195.42726117330872</t>
  </si>
  <si>
    <t>05122</t>
  </si>
  <si>
    <t>Korisapadu</t>
  </si>
  <si>
    <t>149.63562182771935</t>
  </si>
  <si>
    <t>05123</t>
  </si>
  <si>
    <t>Chirala</t>
  </si>
  <si>
    <t>105.11795419773175</t>
  </si>
  <si>
    <t>05124</t>
  </si>
  <si>
    <t>Vetapalem</t>
  </si>
  <si>
    <t>92.13363447231869</t>
  </si>
  <si>
    <t>05125</t>
  </si>
  <si>
    <t>Chinaganjam</t>
  </si>
  <si>
    <t>171.35429163529801</t>
  </si>
  <si>
    <t>05126</t>
  </si>
  <si>
    <t>Naguluppala Padu</t>
  </si>
  <si>
    <t>256.45560223749504</t>
  </si>
  <si>
    <t>05127</t>
  </si>
  <si>
    <t>Maddipadu</t>
  </si>
  <si>
    <t>167.24700682419797</t>
  </si>
  <si>
    <t>05128</t>
  </si>
  <si>
    <t>Chimakurthi</t>
  </si>
  <si>
    <t>287.7749228938485</t>
  </si>
  <si>
    <t>05129</t>
  </si>
  <si>
    <t>Marripudi</t>
  </si>
  <si>
    <t>391.4048781277574</t>
  </si>
  <si>
    <t>05130</t>
  </si>
  <si>
    <t>Hanumanthuni Padu</t>
  </si>
  <si>
    <t>406.5294703353814</t>
  </si>
  <si>
    <t>05131</t>
  </si>
  <si>
    <t>Bestawaripeta</t>
  </si>
  <si>
    <t>472.47024633492805</t>
  </si>
  <si>
    <t>05132</t>
  </si>
  <si>
    <t>Racherla</t>
  </si>
  <si>
    <t>358.84</t>
  </si>
  <si>
    <t>05133</t>
  </si>
  <si>
    <t>Giddalur</t>
  </si>
  <si>
    <t>781.62</t>
  </si>
  <si>
    <t>05134</t>
  </si>
  <si>
    <t>Komarolu</t>
  </si>
  <si>
    <t>318.04449085654613</t>
  </si>
  <si>
    <t>05135</t>
  </si>
  <si>
    <t>Veligandla</t>
  </si>
  <si>
    <t>390.74241283564447</t>
  </si>
  <si>
    <t>05136</t>
  </si>
  <si>
    <t>Kanigiri</t>
  </si>
  <si>
    <t>513.80808056277374</t>
  </si>
  <si>
    <t>05137</t>
  </si>
  <si>
    <t>Kondapi</t>
  </si>
  <si>
    <t>214.35338498028835</t>
  </si>
  <si>
    <t>05138</t>
  </si>
  <si>
    <t>Santhanuthala Padu</t>
  </si>
  <si>
    <t>211.63218139576301</t>
  </si>
  <si>
    <t>05139</t>
  </si>
  <si>
    <t>Ongole</t>
  </si>
  <si>
    <t>203.80489917510585</t>
  </si>
  <si>
    <t>05140</t>
  </si>
  <si>
    <t>Kotha Patnam</t>
  </si>
  <si>
    <t>166.258404772891</t>
  </si>
  <si>
    <t>05141</t>
  </si>
  <si>
    <t>Tangutur</t>
  </si>
  <si>
    <t>202.20479070031004</t>
  </si>
  <si>
    <t>05142</t>
  </si>
  <si>
    <t>Zarugumilli</t>
  </si>
  <si>
    <t>137.84373962810955</t>
  </si>
  <si>
    <t>05143</t>
  </si>
  <si>
    <t>Ponnaluru</t>
  </si>
  <si>
    <t>339.14146246691115</t>
  </si>
  <si>
    <t>05144</t>
  </si>
  <si>
    <t>Pedacherlo Palle</t>
  </si>
  <si>
    <t>357.92490144174337</t>
  </si>
  <si>
    <t>05145</t>
  </si>
  <si>
    <t>Chandra Sekhara Puram</t>
  </si>
  <si>
    <t>573.09362832001682</t>
  </si>
  <si>
    <t>05146</t>
  </si>
  <si>
    <t>Pamur</t>
  </si>
  <si>
    <t>415.11094381167482</t>
  </si>
  <si>
    <t>05147</t>
  </si>
  <si>
    <t>Voletivaripalem</t>
  </si>
  <si>
    <t>257.36267009900348</t>
  </si>
  <si>
    <t>05148</t>
  </si>
  <si>
    <t>221.19206514963855</t>
  </si>
  <si>
    <t>05149</t>
  </si>
  <si>
    <t>Singarayakonda</t>
  </si>
  <si>
    <t>111.33493616986829</t>
  </si>
  <si>
    <t>05150</t>
  </si>
  <si>
    <t>Lingasamudram</t>
  </si>
  <si>
    <t>234.80827484599007</t>
  </si>
  <si>
    <t>05151</t>
  </si>
  <si>
    <t>Gudluru</t>
  </si>
  <si>
    <t>248.29199148391902</t>
  </si>
  <si>
    <t>05152</t>
  </si>
  <si>
    <t>Ulavapadu</t>
  </si>
  <si>
    <t>187.66112959500043</t>
  </si>
  <si>
    <t>05153</t>
  </si>
  <si>
    <t>Seetharamapuram</t>
  </si>
  <si>
    <t>381.69911794884376</t>
  </si>
  <si>
    <t>05154</t>
  </si>
  <si>
    <t>Udayagiri</t>
  </si>
  <si>
    <t>380.00446010217746</t>
  </si>
  <si>
    <t>05155</t>
  </si>
  <si>
    <t>Varikuntapadu</t>
  </si>
  <si>
    <t>346.66281903610871</t>
  </si>
  <si>
    <t>05156</t>
  </si>
  <si>
    <t>Kondapuram</t>
  </si>
  <si>
    <t>340.49586888403888</t>
  </si>
  <si>
    <t>05157</t>
  </si>
  <si>
    <t>Jaladanki</t>
  </si>
  <si>
    <t>302.91256942069282</t>
  </si>
  <si>
    <t>05158</t>
  </si>
  <si>
    <t>Kavali</t>
  </si>
  <si>
    <t>324.30135750909125</t>
  </si>
  <si>
    <t>05159</t>
  </si>
  <si>
    <t>Bogole</t>
  </si>
  <si>
    <t>182.100511807461</t>
  </si>
  <si>
    <t>05160</t>
  </si>
  <si>
    <t>Kaligiri</t>
  </si>
  <si>
    <t>405.04328047570334</t>
  </si>
  <si>
    <t>05161</t>
  </si>
  <si>
    <t>Vinjamur</t>
  </si>
  <si>
    <t>294.15850847312055</t>
  </si>
  <si>
    <t>05162</t>
  </si>
  <si>
    <t>Duttalur</t>
  </si>
  <si>
    <t>260.60628862137139</t>
  </si>
  <si>
    <t>05163</t>
  </si>
  <si>
    <t>Marripadu</t>
  </si>
  <si>
    <t>571.11974944900555</t>
  </si>
  <si>
    <t>05164</t>
  </si>
  <si>
    <t>311.64657524581946</t>
  </si>
  <si>
    <t>05165</t>
  </si>
  <si>
    <t>Anumasamudrampeta</t>
  </si>
  <si>
    <t>283.51926601564719</t>
  </si>
  <si>
    <t>05166</t>
  </si>
  <si>
    <t>Dagadarthi</t>
  </si>
  <si>
    <t>252.34357817372006</t>
  </si>
  <si>
    <t>05167</t>
  </si>
  <si>
    <t>Allur</t>
  </si>
  <si>
    <t>188.80895026556627</t>
  </si>
  <si>
    <t>05168</t>
  </si>
  <si>
    <t>Vidavalur</t>
  </si>
  <si>
    <t>172.39383254371529</t>
  </si>
  <si>
    <t>05169</t>
  </si>
  <si>
    <t>Kodavalur</t>
  </si>
  <si>
    <t>140.07500272238011</t>
  </si>
  <si>
    <t>05170</t>
  </si>
  <si>
    <t>Buchireddipalem</t>
  </si>
  <si>
    <t>128.42297658139609</t>
  </si>
  <si>
    <t>05171</t>
  </si>
  <si>
    <t>162.32616107594598</t>
  </si>
  <si>
    <t>05172</t>
  </si>
  <si>
    <t>Chejerla</t>
  </si>
  <si>
    <t>300.13493496195571</t>
  </si>
  <si>
    <t>05173</t>
  </si>
  <si>
    <t>Ananthasagaram</t>
  </si>
  <si>
    <t>300.25526569663026</t>
  </si>
  <si>
    <t>05174</t>
  </si>
  <si>
    <t>Kaluvoya</t>
  </si>
  <si>
    <t>385.12854388706802</t>
  </si>
  <si>
    <t>05175</t>
  </si>
  <si>
    <t>Rapur</t>
  </si>
  <si>
    <t>548.06638619760952</t>
  </si>
  <si>
    <t>05176</t>
  </si>
  <si>
    <t>Podalakur</t>
  </si>
  <si>
    <t>433.53158190989916</t>
  </si>
  <si>
    <t>05177</t>
  </si>
  <si>
    <t>Nellore</t>
  </si>
  <si>
    <t>343.10303480198712</t>
  </si>
  <si>
    <t>05178</t>
  </si>
  <si>
    <t>Kovur</t>
  </si>
  <si>
    <t>83.529584986572146</t>
  </si>
  <si>
    <t>05179</t>
  </si>
  <si>
    <t>Indukurpet</t>
  </si>
  <si>
    <t>133.83785964175013</t>
  </si>
  <si>
    <t>05180</t>
  </si>
  <si>
    <t>Thotapalligudur</t>
  </si>
  <si>
    <t>150.43347346561291</t>
  </si>
  <si>
    <t>05181</t>
  </si>
  <si>
    <t>Muthukur</t>
  </si>
  <si>
    <t>226.93373803494771</t>
  </si>
  <si>
    <t>05182</t>
  </si>
  <si>
    <t>Venkatachalam</t>
  </si>
  <si>
    <t>311.34574840913308</t>
  </si>
  <si>
    <t>05183</t>
  </si>
  <si>
    <t>Manubolu</t>
  </si>
  <si>
    <t>217.36744462832229</t>
  </si>
  <si>
    <t>05184</t>
  </si>
  <si>
    <t>261.11769424373813</t>
  </si>
  <si>
    <t>05185</t>
  </si>
  <si>
    <t>Sydapuram</t>
  </si>
  <si>
    <t>333.82754067082516</t>
  </si>
  <si>
    <t>05186</t>
  </si>
  <si>
    <t>Dakkili</t>
  </si>
  <si>
    <t>369.03430812434914</t>
  </si>
  <si>
    <t>05187</t>
  </si>
  <si>
    <t>Venkatagiri</t>
  </si>
  <si>
    <t>271.04497985438718</t>
  </si>
  <si>
    <t>05188</t>
  </si>
  <si>
    <t>Balayapalle</t>
  </si>
  <si>
    <t>255.78303167316716</t>
  </si>
  <si>
    <t>05189</t>
  </si>
  <si>
    <t>Ojili</t>
  </si>
  <si>
    <t>251.99261353091936</t>
  </si>
  <si>
    <t>05190</t>
  </si>
  <si>
    <t>Chillakur</t>
  </si>
  <si>
    <t>283.03794307694903</t>
  </si>
  <si>
    <t>05191</t>
  </si>
  <si>
    <t>163.03811792277031</t>
  </si>
  <si>
    <t>05192</t>
  </si>
  <si>
    <t>Vakadu</t>
  </si>
  <si>
    <t>238.49551612492581</t>
  </si>
  <si>
    <t>05193</t>
  </si>
  <si>
    <t>Chittamur</t>
  </si>
  <si>
    <t>284.32147091347741</t>
  </si>
  <si>
    <t>05194</t>
  </si>
  <si>
    <t>Naidupet</t>
  </si>
  <si>
    <t>158.66610122959557</t>
  </si>
  <si>
    <t>05195</t>
  </si>
  <si>
    <t>Pellakur</t>
  </si>
  <si>
    <t>168.61344196269036</t>
  </si>
  <si>
    <t>05196</t>
  </si>
  <si>
    <t>Doravarisatram</t>
  </si>
  <si>
    <t>269.10966053837177</t>
  </si>
  <si>
    <t>05197</t>
  </si>
  <si>
    <t>Sullurpeta</t>
  </si>
  <si>
    <t>405.77529244497345</t>
  </si>
  <si>
    <t>05198</t>
  </si>
  <si>
    <t>Tada</t>
  </si>
  <si>
    <t>499.83381671556725</t>
  </si>
  <si>
    <t>05199</t>
  </si>
  <si>
    <t>372.09916046389719</t>
  </si>
  <si>
    <t>05200</t>
  </si>
  <si>
    <t>365.00093421169038</t>
  </si>
  <si>
    <t>05201</t>
  </si>
  <si>
    <t>Peddamudium</t>
  </si>
  <si>
    <t>297.93283645155373</t>
  </si>
  <si>
    <t>05202</t>
  </si>
  <si>
    <t>175.4478723081169</t>
  </si>
  <si>
    <t>05203</t>
  </si>
  <si>
    <t>Duvvur</t>
  </si>
  <si>
    <t>216.07000711717461</t>
  </si>
  <si>
    <t>05204</t>
  </si>
  <si>
    <t>S.Mydukur</t>
  </si>
  <si>
    <t>434.77649827088311</t>
  </si>
  <si>
    <t>05205</t>
  </si>
  <si>
    <t>Brahmamgarimattam</t>
  </si>
  <si>
    <t>317.44281832190495</t>
  </si>
  <si>
    <t>05206</t>
  </si>
  <si>
    <t>Sri Avadhutha Kasinayana</t>
  </si>
  <si>
    <t>382.93916598333868</t>
  </si>
  <si>
    <t>05207</t>
  </si>
  <si>
    <t>Kalasapadu</t>
  </si>
  <si>
    <t>359.67726452253532</t>
  </si>
  <si>
    <t>05208</t>
  </si>
  <si>
    <t>Porumamilla</t>
  </si>
  <si>
    <t>356.95965790026185</t>
  </si>
  <si>
    <t>05209</t>
  </si>
  <si>
    <t>B.Kodur</t>
  </si>
  <si>
    <t>131.90532441243698</t>
  </si>
  <si>
    <t>05210</t>
  </si>
  <si>
    <t>Badvel</t>
  </si>
  <si>
    <t>309.84771623204369</t>
  </si>
  <si>
    <t>05211</t>
  </si>
  <si>
    <t>Gopavaram</t>
  </si>
  <si>
    <t>487.06000477999481</t>
  </si>
  <si>
    <t>05212</t>
  </si>
  <si>
    <t>Khajipet</t>
  </si>
  <si>
    <t>224.25324795364727</t>
  </si>
  <si>
    <t>05213</t>
  </si>
  <si>
    <t>Chapad</t>
  </si>
  <si>
    <t>130.33357431373403</t>
  </si>
  <si>
    <t>05214</t>
  </si>
  <si>
    <t>Proddatur</t>
  </si>
  <si>
    <t>182.76918567110732</t>
  </si>
  <si>
    <t>05215</t>
  </si>
  <si>
    <t>Jammalamadugu</t>
  </si>
  <si>
    <t>286.70749864984958</t>
  </si>
  <si>
    <t>05216</t>
  </si>
  <si>
    <t>Muddanur</t>
  </si>
  <si>
    <t>327.70482541795246</t>
  </si>
  <si>
    <t>05217</t>
  </si>
  <si>
    <t>Simhadripuram</t>
  </si>
  <si>
    <t>298.73392198573134</t>
  </si>
  <si>
    <t>05218</t>
  </si>
  <si>
    <t>Lingala</t>
  </si>
  <si>
    <t>287.94461808237702</t>
  </si>
  <si>
    <t>05219</t>
  </si>
  <si>
    <t>Pulivendla</t>
  </si>
  <si>
    <t>187.96103115843573</t>
  </si>
  <si>
    <t>05220</t>
  </si>
  <si>
    <t>Vemula</t>
  </si>
  <si>
    <t>225.9061206380897</t>
  </si>
  <si>
    <t>05221</t>
  </si>
  <si>
    <t>Thondur</t>
  </si>
  <si>
    <t>261.1234631722528</t>
  </si>
  <si>
    <t>05222</t>
  </si>
  <si>
    <t>Veerapunayunipalle</t>
  </si>
  <si>
    <t>292.58888611596376</t>
  </si>
  <si>
    <t>05223</t>
  </si>
  <si>
    <t>Yerraguntla</t>
  </si>
  <si>
    <t>230.26645962158818</t>
  </si>
  <si>
    <t>05224</t>
  </si>
  <si>
    <t>Kamalapuram</t>
  </si>
  <si>
    <t>180.86280490622894</t>
  </si>
  <si>
    <t>05225</t>
  </si>
  <si>
    <t>Vallur</t>
  </si>
  <si>
    <t>138.31400868585797</t>
  </si>
  <si>
    <t>05226</t>
  </si>
  <si>
    <t>98.817449753935918</t>
  </si>
  <si>
    <t>05227</t>
  </si>
  <si>
    <t>Atlur</t>
  </si>
  <si>
    <t>354.23191095477097</t>
  </si>
  <si>
    <t>05228</t>
  </si>
  <si>
    <t>Vontimitta</t>
  </si>
  <si>
    <t>380.25198033071757</t>
  </si>
  <si>
    <t>05229</t>
  </si>
  <si>
    <t>Sidhout</t>
  </si>
  <si>
    <t>283.92905008827148</t>
  </si>
  <si>
    <t>05230</t>
  </si>
  <si>
    <t>Kadapa</t>
  </si>
  <si>
    <t>104.81</t>
  </si>
  <si>
    <t>05231</t>
  </si>
  <si>
    <t>Chinthakommadinne</t>
  </si>
  <si>
    <t>318.88274421878123</t>
  </si>
  <si>
    <t>05232</t>
  </si>
  <si>
    <t>Pendlimarri</t>
  </si>
  <si>
    <t>435.65870639080026</t>
  </si>
  <si>
    <t>05233</t>
  </si>
  <si>
    <t>Vempalle</t>
  </si>
  <si>
    <t>216.35393616726287</t>
  </si>
  <si>
    <t>05234</t>
  </si>
  <si>
    <t>Chakrayapet</t>
  </si>
  <si>
    <t>462.60154517953373</t>
  </si>
  <si>
    <t>05235</t>
  </si>
  <si>
    <t>Galiveedu</t>
  </si>
  <si>
    <t>335.31006783103118</t>
  </si>
  <si>
    <t>05236</t>
  </si>
  <si>
    <t>Chinnamandem</t>
  </si>
  <si>
    <t>200.96092552319158</t>
  </si>
  <si>
    <t>05237</t>
  </si>
  <si>
    <t>Sambepalle</t>
  </si>
  <si>
    <t>245.02062990296082</t>
  </si>
  <si>
    <t>05238</t>
  </si>
  <si>
    <t>T Sundupalle</t>
  </si>
  <si>
    <t>507.7158431739166</t>
  </si>
  <si>
    <t>05239</t>
  </si>
  <si>
    <t>Rayachoti</t>
  </si>
  <si>
    <t>212.61215690002811</t>
  </si>
  <si>
    <t>05240</t>
  </si>
  <si>
    <t>Lakkireddipalle</t>
  </si>
  <si>
    <t>216.820391035265</t>
  </si>
  <si>
    <t>05241</t>
  </si>
  <si>
    <t>Ramapuram</t>
  </si>
  <si>
    <t>436.97694840906723</t>
  </si>
  <si>
    <t>05242</t>
  </si>
  <si>
    <t>Veeraballe</t>
  </si>
  <si>
    <t>266.10236187201502</t>
  </si>
  <si>
    <t>05243</t>
  </si>
  <si>
    <t>Nandalur</t>
  </si>
  <si>
    <t>150.65478204148033</t>
  </si>
  <si>
    <t>05244</t>
  </si>
  <si>
    <t>Penagalur</t>
  </si>
  <si>
    <t>453.07978167835921</t>
  </si>
  <si>
    <t>05245</t>
  </si>
  <si>
    <t>Chitvel</t>
  </si>
  <si>
    <t>377.96026728357651</t>
  </si>
  <si>
    <t>05246</t>
  </si>
  <si>
    <t>Rajampet</t>
  </si>
  <si>
    <t>301.82672056704996</t>
  </si>
  <si>
    <t>05247</t>
  </si>
  <si>
    <t>Pullampeta</t>
  </si>
  <si>
    <t>404.63945766865663</t>
  </si>
  <si>
    <t>05248</t>
  </si>
  <si>
    <t>Obulavaripalle</t>
  </si>
  <si>
    <t>463.27080651188464</t>
  </si>
  <si>
    <t>05249</t>
  </si>
  <si>
    <t>Kodur</t>
  </si>
  <si>
    <t>667.52733708074356</t>
  </si>
  <si>
    <t>05250</t>
  </si>
  <si>
    <t>Mantralayam</t>
  </si>
  <si>
    <t>189.54375909930826</t>
  </si>
  <si>
    <t>05251</t>
  </si>
  <si>
    <t>Kosigi</t>
  </si>
  <si>
    <t>230.2533293525961</t>
  </si>
  <si>
    <t>05252</t>
  </si>
  <si>
    <t>Kowthalam</t>
  </si>
  <si>
    <t>387.04623918313428</t>
  </si>
  <si>
    <t>05253</t>
  </si>
  <si>
    <t>Pedda Kadubur</t>
  </si>
  <si>
    <t>218.93606882218208</t>
  </si>
  <si>
    <t>05254</t>
  </si>
  <si>
    <t>Yemmiganur</t>
  </si>
  <si>
    <t>315.78413645475382</t>
  </si>
  <si>
    <t>05255</t>
  </si>
  <si>
    <t>Nandavaram</t>
  </si>
  <si>
    <t>264.61220664637102</t>
  </si>
  <si>
    <t>05256</t>
  </si>
  <si>
    <t>C.Belagal</t>
  </si>
  <si>
    <t>209.33878763496946</t>
  </si>
  <si>
    <t>05257</t>
  </si>
  <si>
    <t>163.86619766204691</t>
  </si>
  <si>
    <t>05258</t>
  </si>
  <si>
    <t>347.38494036386857</t>
  </si>
  <si>
    <t>05259</t>
  </si>
  <si>
    <t>Kurnool</t>
  </si>
  <si>
    <t>340.56608734644283</t>
  </si>
  <si>
    <t>05260</t>
  </si>
  <si>
    <t>Nandikotkur</t>
  </si>
  <si>
    <t>177.82958025892464</t>
  </si>
  <si>
    <t>05261</t>
  </si>
  <si>
    <t>Pagidyala</t>
  </si>
  <si>
    <t>150.39132990820866</t>
  </si>
  <si>
    <t>05262</t>
  </si>
  <si>
    <t>Jupadu Bungalow</t>
  </si>
  <si>
    <t>225.30711656682161</t>
  </si>
  <si>
    <t>05263</t>
  </si>
  <si>
    <t>426.64647364702</t>
  </si>
  <si>
    <t>05264</t>
  </si>
  <si>
    <t>Srisailam</t>
  </si>
  <si>
    <t>491.23220685386121</t>
  </si>
  <si>
    <t>05265</t>
  </si>
  <si>
    <t>498.82454170609935</t>
  </si>
  <si>
    <t>05266</t>
  </si>
  <si>
    <t>Pamulapadu</t>
  </si>
  <si>
    <t>191.98633331450549</t>
  </si>
  <si>
    <t>05267</t>
  </si>
  <si>
    <t>Midthur</t>
  </si>
  <si>
    <t>305.58638910630526</t>
  </si>
  <si>
    <t>05268</t>
  </si>
  <si>
    <t>Orvakal</t>
  </si>
  <si>
    <t>375.60684994196038</t>
  </si>
  <si>
    <t>05269</t>
  </si>
  <si>
    <t>Kodumur</t>
  </si>
  <si>
    <t>234.4260603035581</t>
  </si>
  <si>
    <t>05270</t>
  </si>
  <si>
    <t>Gonegandla</t>
  </si>
  <si>
    <t>291.03271774075483</t>
  </si>
  <si>
    <t>05271</t>
  </si>
  <si>
    <t>Adoni</t>
  </si>
  <si>
    <t>544.02234207981212</t>
  </si>
  <si>
    <t>05272</t>
  </si>
  <si>
    <t>Holagunda</t>
  </si>
  <si>
    <t>338.97841410656463</t>
  </si>
  <si>
    <t>05273</t>
  </si>
  <si>
    <t>Halaharvi</t>
  </si>
  <si>
    <t>276.06177328010824</t>
  </si>
  <si>
    <t>05274</t>
  </si>
  <si>
    <t>Alur</t>
  </si>
  <si>
    <t>356.07643361294555</t>
  </si>
  <si>
    <t>05275</t>
  </si>
  <si>
    <t>Aspari</t>
  </si>
  <si>
    <t>421.29316515871267</t>
  </si>
  <si>
    <t>05276</t>
  </si>
  <si>
    <t>Devanakonda</t>
  </si>
  <si>
    <t>479.57909236885757</t>
  </si>
  <si>
    <t>05277</t>
  </si>
  <si>
    <t>Krishnagiri</t>
  </si>
  <si>
    <t>375.96305868167667</t>
  </si>
  <si>
    <t>05278</t>
  </si>
  <si>
    <t>324.32296881538099</t>
  </si>
  <si>
    <t>05279</t>
  </si>
  <si>
    <t>Bethamcherla</t>
  </si>
  <si>
    <t>359.50621490678503</t>
  </si>
  <si>
    <t>05280</t>
  </si>
  <si>
    <t>Panyam</t>
  </si>
  <si>
    <t>385.0921798109764</t>
  </si>
  <si>
    <t>05281</t>
  </si>
  <si>
    <t>Gadivemula</t>
  </si>
  <si>
    <t>323.71232526158167</t>
  </si>
  <si>
    <t>05282</t>
  </si>
  <si>
    <t>Velgode</t>
  </si>
  <si>
    <t>357.5928651048805</t>
  </si>
  <si>
    <t>05283</t>
  </si>
  <si>
    <t>Bandi Atmakur</t>
  </si>
  <si>
    <t>528.57306016868949</t>
  </si>
  <si>
    <t>05284</t>
  </si>
  <si>
    <t>Nandyal</t>
  </si>
  <si>
    <t>221.5414813183925</t>
  </si>
  <si>
    <t>05285</t>
  </si>
  <si>
    <t>Mahanandi</t>
  </si>
  <si>
    <t>253.24405915314043</t>
  </si>
  <si>
    <t>05286</t>
  </si>
  <si>
    <t>Sirvel</t>
  </si>
  <si>
    <t>174.65423377916821</t>
  </si>
  <si>
    <t>05287</t>
  </si>
  <si>
    <t>Gospadu</t>
  </si>
  <si>
    <t>130.18920567001456</t>
  </si>
  <si>
    <t>05288</t>
  </si>
  <si>
    <t>Banaganapalle</t>
  </si>
  <si>
    <t>526.82254864779804</t>
  </si>
  <si>
    <t>05289</t>
  </si>
  <si>
    <t>Dhone</t>
  </si>
  <si>
    <t>563.04388878066095</t>
  </si>
  <si>
    <t>05290</t>
  </si>
  <si>
    <t>Pattikonda</t>
  </si>
  <si>
    <t>289.14990011654032</t>
  </si>
  <si>
    <t>05291</t>
  </si>
  <si>
    <t>Chippagiri</t>
  </si>
  <si>
    <t>294.85941734456395</t>
  </si>
  <si>
    <t>05292</t>
  </si>
  <si>
    <t>Maddikera (East)</t>
  </si>
  <si>
    <t>241.05154286228068</t>
  </si>
  <si>
    <t>05293</t>
  </si>
  <si>
    <t>Tuggali</t>
  </si>
  <si>
    <t>379.90170960368221</t>
  </si>
  <si>
    <t>05294</t>
  </si>
  <si>
    <t>Peapally</t>
  </si>
  <si>
    <t>548.4800400225472</t>
  </si>
  <si>
    <t>05295</t>
  </si>
  <si>
    <t>Owk</t>
  </si>
  <si>
    <t>493.02342794500584</t>
  </si>
  <si>
    <t>05296</t>
  </si>
  <si>
    <t>Koilkuntla</t>
  </si>
  <si>
    <t>213.41992205286155</t>
  </si>
  <si>
    <t>05297</t>
  </si>
  <si>
    <t>Rudravaram</t>
  </si>
  <si>
    <t>583.96860789085088</t>
  </si>
  <si>
    <t>05298</t>
  </si>
  <si>
    <t>Allagadda</t>
  </si>
  <si>
    <t>329.96124429546131</t>
  </si>
  <si>
    <t>05299</t>
  </si>
  <si>
    <t>Dornipadu</t>
  </si>
  <si>
    <t>100.7867185545774</t>
  </si>
  <si>
    <t>05300</t>
  </si>
  <si>
    <t>Sanjamala</t>
  </si>
  <si>
    <t>298.22813428302345</t>
  </si>
  <si>
    <t>05301</t>
  </si>
  <si>
    <t>Kolimigundla</t>
  </si>
  <si>
    <t>333.23836470085104</t>
  </si>
  <si>
    <t>05302</t>
  </si>
  <si>
    <t>Uyyalawada</t>
  </si>
  <si>
    <t>202.44869286960048</t>
  </si>
  <si>
    <t>05303</t>
  </si>
  <si>
    <t>Chagalamarri</t>
  </si>
  <si>
    <t>373.01161483831328</t>
  </si>
  <si>
    <t>05304</t>
  </si>
  <si>
    <t>D.Hirehal</t>
  </si>
  <si>
    <t>337.32020946552223</t>
  </si>
  <si>
    <t>05305</t>
  </si>
  <si>
    <t>Rayadurg</t>
  </si>
  <si>
    <t>342.20861479337026</t>
  </si>
  <si>
    <t>05306</t>
  </si>
  <si>
    <t>Kanekal</t>
  </si>
  <si>
    <t>400.80875319552376</t>
  </si>
  <si>
    <t>05307</t>
  </si>
  <si>
    <t>Bommanahal</t>
  </si>
  <si>
    <t>302.53460053837171</t>
  </si>
  <si>
    <t>05308</t>
  </si>
  <si>
    <t>Vidapanakal</t>
  </si>
  <si>
    <t>376.05297797416495</t>
  </si>
  <si>
    <t>05309</t>
  </si>
  <si>
    <t>Guntakal</t>
  </si>
  <si>
    <t>401.99290106997142</t>
  </si>
  <si>
    <t>05310</t>
  </si>
  <si>
    <t>Gooty</t>
  </si>
  <si>
    <t>309.38646473496203</t>
  </si>
  <si>
    <t>05311</t>
  </si>
  <si>
    <t>Peddavadugur</t>
  </si>
  <si>
    <t>294.38725832529167</t>
  </si>
  <si>
    <t>05312</t>
  </si>
  <si>
    <t>Yadiki</t>
  </si>
  <si>
    <t>341.26736904701443</t>
  </si>
  <si>
    <t>05313</t>
  </si>
  <si>
    <t>Tadpatri</t>
  </si>
  <si>
    <t>361.04365064249077</t>
  </si>
  <si>
    <t>05314</t>
  </si>
  <si>
    <t>Peddapappur</t>
  </si>
  <si>
    <t>227.71062416408489</t>
  </si>
  <si>
    <t>05315</t>
  </si>
  <si>
    <t>Pamidi</t>
  </si>
  <si>
    <t>291.02711222002137</t>
  </si>
  <si>
    <t>05316</t>
  </si>
  <si>
    <t>Vajrakarur</t>
  </si>
  <si>
    <t>400.15089326527504</t>
  </si>
  <si>
    <t>05317</t>
  </si>
  <si>
    <t>Uravakonda</t>
  </si>
  <si>
    <t>393.31927091269239</t>
  </si>
  <si>
    <t>05318</t>
  </si>
  <si>
    <t>Beluguppa</t>
  </si>
  <si>
    <t>328.74778852828143</t>
  </si>
  <si>
    <t>05319</t>
  </si>
  <si>
    <t>Gummagatta</t>
  </si>
  <si>
    <t>223.56104614251612</t>
  </si>
  <si>
    <t>05320</t>
  </si>
  <si>
    <t>Brahmasamudram</t>
  </si>
  <si>
    <t>294.70100690741026</t>
  </si>
  <si>
    <t>05321</t>
  </si>
  <si>
    <t>Kalyandurg</t>
  </si>
  <si>
    <t>491.41124697377558</t>
  </si>
  <si>
    <t>05322</t>
  </si>
  <si>
    <t>310.6819427514518</t>
  </si>
  <si>
    <t>05323</t>
  </si>
  <si>
    <t>Kudair</t>
  </si>
  <si>
    <t>391.76064892410312</t>
  </si>
  <si>
    <t>05324</t>
  </si>
  <si>
    <t>Garladinne</t>
  </si>
  <si>
    <t>294.14435619719978</t>
  </si>
  <si>
    <t>05325</t>
  </si>
  <si>
    <t>Singanamala</t>
  </si>
  <si>
    <t>319.50738673878817</t>
  </si>
  <si>
    <t>05326</t>
  </si>
  <si>
    <t>Putlur</t>
  </si>
  <si>
    <t>342.15801018335111</t>
  </si>
  <si>
    <t>05327</t>
  </si>
  <si>
    <t>Yellanur</t>
  </si>
  <si>
    <t>303.79971578884999</t>
  </si>
  <si>
    <t>05328</t>
  </si>
  <si>
    <t>Narpala</t>
  </si>
  <si>
    <t>272.31352743494676</t>
  </si>
  <si>
    <t>05329</t>
  </si>
  <si>
    <t>Bukkaraya Samudram</t>
  </si>
  <si>
    <t>265.59323522440621</t>
  </si>
  <si>
    <t>05330</t>
  </si>
  <si>
    <t>Anantapur</t>
  </si>
  <si>
    <t>277.89015545905499</t>
  </si>
  <si>
    <t>05331</t>
  </si>
  <si>
    <t>Raptadu</t>
  </si>
  <si>
    <t>266.50411820475057</t>
  </si>
  <si>
    <t>05332</t>
  </si>
  <si>
    <t>Settur</t>
  </si>
  <si>
    <t>326.73372504952005</t>
  </si>
  <si>
    <t>05333</t>
  </si>
  <si>
    <t>Kundurpi</t>
  </si>
  <si>
    <t>294.18483988521513</t>
  </si>
  <si>
    <t>05334</t>
  </si>
  <si>
    <t>Kambadur</t>
  </si>
  <si>
    <t>393.84555885689133</t>
  </si>
  <si>
    <t>05335</t>
  </si>
  <si>
    <t>Kanaganapalle</t>
  </si>
  <si>
    <t>424.06663196031627</t>
  </si>
  <si>
    <t>05336</t>
  </si>
  <si>
    <t>Dharmavaram</t>
  </si>
  <si>
    <t>374.80810456769433</t>
  </si>
  <si>
    <t>05337</t>
  </si>
  <si>
    <t>Bathalapalle</t>
  </si>
  <si>
    <t>230.09916175698783</t>
  </si>
  <si>
    <t>05338</t>
  </si>
  <si>
    <t>Tadimarri</t>
  </si>
  <si>
    <t>257.83048804747153</t>
  </si>
  <si>
    <t>05339</t>
  </si>
  <si>
    <t>Mudigubba</t>
  </si>
  <si>
    <t>553.94842403541747</t>
  </si>
  <si>
    <t>05340</t>
  </si>
  <si>
    <t>Talupula</t>
  </si>
  <si>
    <t>430.24039438265027</t>
  </si>
  <si>
    <t>05341</t>
  </si>
  <si>
    <t>Nambulipulikunta</t>
  </si>
  <si>
    <t>362.49094248903793</t>
  </si>
  <si>
    <t>05342</t>
  </si>
  <si>
    <t>Gandlapenta</t>
  </si>
  <si>
    <t>190.20248721790512</t>
  </si>
  <si>
    <t>05343</t>
  </si>
  <si>
    <t>Kadiri</t>
  </si>
  <si>
    <t>242.68958872974758</t>
  </si>
  <si>
    <t>05344</t>
  </si>
  <si>
    <t>Nallamada</t>
  </si>
  <si>
    <t>272.16171360488943</t>
  </si>
  <si>
    <t>05345</t>
  </si>
  <si>
    <t>Bukkapatnam</t>
  </si>
  <si>
    <t>326.10622788528281</t>
  </si>
  <si>
    <t>05346</t>
  </si>
  <si>
    <t>Kothacheruvu</t>
  </si>
  <si>
    <t>243.84337383818379</t>
  </si>
  <si>
    <t>05347</t>
  </si>
  <si>
    <t>Chennekothapalle</t>
  </si>
  <si>
    <t>365.45637263615896</t>
  </si>
  <si>
    <t>05348</t>
  </si>
  <si>
    <t>338.06915769380532</t>
  </si>
  <si>
    <t>05349</t>
  </si>
  <si>
    <t>Roddam</t>
  </si>
  <si>
    <t>364.1102900096501</t>
  </si>
  <si>
    <t>05350</t>
  </si>
  <si>
    <t>Madakasira</t>
  </si>
  <si>
    <t>334.71913251053894</t>
  </si>
  <si>
    <t>05351</t>
  </si>
  <si>
    <t>Amarapuram</t>
  </si>
  <si>
    <t>217.76175783432376</t>
  </si>
  <si>
    <t>05352</t>
  </si>
  <si>
    <t>Gudibanda</t>
  </si>
  <si>
    <t>242.21390539556776</t>
  </si>
  <si>
    <t>05353</t>
  </si>
  <si>
    <t>Rolla</t>
  </si>
  <si>
    <t>162.42055631740229</t>
  </si>
  <si>
    <t>05354</t>
  </si>
  <si>
    <t>Agali</t>
  </si>
  <si>
    <t>123.36391830463711</t>
  </si>
  <si>
    <t>05355</t>
  </si>
  <si>
    <t>Parigi</t>
  </si>
  <si>
    <t>151.38875133323177</t>
  </si>
  <si>
    <t>05356</t>
  </si>
  <si>
    <t>Penukonda</t>
  </si>
  <si>
    <t>302.0994008922072</t>
  </si>
  <si>
    <t>05357</t>
  </si>
  <si>
    <t>Puttaparthi</t>
  </si>
  <si>
    <t>236.76884935750928</t>
  </si>
  <si>
    <t>05358</t>
  </si>
  <si>
    <t>Obuladevaracheruvu</t>
  </si>
  <si>
    <t>273.23453133729498</t>
  </si>
  <si>
    <t>05359</t>
  </si>
  <si>
    <t>Nallacheruvu</t>
  </si>
  <si>
    <t>147.09748040360947</t>
  </si>
  <si>
    <t>05360</t>
  </si>
  <si>
    <t>Tanakal</t>
  </si>
  <si>
    <t>353.18981516752166</t>
  </si>
  <si>
    <t>05361</t>
  </si>
  <si>
    <t>Amadagur</t>
  </si>
  <si>
    <t>255.6140061286336</t>
  </si>
  <si>
    <t>05362</t>
  </si>
  <si>
    <t>Gorantla</t>
  </si>
  <si>
    <t>356.59044496080725</t>
  </si>
  <si>
    <t>05363</t>
  </si>
  <si>
    <t>Somandepalle</t>
  </si>
  <si>
    <t>219.87703053312342</t>
  </si>
  <si>
    <t>05364</t>
  </si>
  <si>
    <t>Hindupur</t>
  </si>
  <si>
    <t>199.85784680955527</t>
  </si>
  <si>
    <t>05365</t>
  </si>
  <si>
    <t>Lepakshi</t>
  </si>
  <si>
    <t>151.13572828313613</t>
  </si>
  <si>
    <t>05366</t>
  </si>
  <si>
    <t>Chilamathur</t>
  </si>
  <si>
    <t>249.79447597643357</t>
  </si>
  <si>
    <t>05367</t>
  </si>
  <si>
    <t>Mulakalacheruvu</t>
  </si>
  <si>
    <t>268.45389538685851</t>
  </si>
  <si>
    <t>05368</t>
  </si>
  <si>
    <t>Thamballapalle</t>
  </si>
  <si>
    <t>329.4</t>
  </si>
  <si>
    <t>05369</t>
  </si>
  <si>
    <t>Peddamandyam</t>
  </si>
  <si>
    <t>261.0831394663208</t>
  </si>
  <si>
    <t>05370</t>
  </si>
  <si>
    <t>Gurramkonda</t>
  </si>
  <si>
    <t>259.31659465891914</t>
  </si>
  <si>
    <t>05371</t>
  </si>
  <si>
    <t>Kalakada</t>
  </si>
  <si>
    <t>238.47339644285299</t>
  </si>
  <si>
    <t>05372</t>
  </si>
  <si>
    <t>Kambhamvaripalle</t>
  </si>
  <si>
    <t>279.86536874041838</t>
  </si>
  <si>
    <t>05373</t>
  </si>
  <si>
    <t>138.59254693011138</t>
  </si>
  <si>
    <t>05374</t>
  </si>
  <si>
    <t>Yerravaripalem</t>
  </si>
  <si>
    <t>310.88142843359026</t>
  </si>
  <si>
    <t>05375</t>
  </si>
  <si>
    <t>Tirupati (Rural)</t>
  </si>
  <si>
    <t>84.560641958896625</t>
  </si>
  <si>
    <t>05376</t>
  </si>
  <si>
    <t>Renigunta</t>
  </si>
  <si>
    <t>177.75095682751376</t>
  </si>
  <si>
    <t>05377</t>
  </si>
  <si>
    <t>Yerpedu</t>
  </si>
  <si>
    <t>227.42741511841075</t>
  </si>
  <si>
    <t>05378</t>
  </si>
  <si>
    <t>Srikalahasti</t>
  </si>
  <si>
    <t>361.73558326275503</t>
  </si>
  <si>
    <t>05379</t>
  </si>
  <si>
    <t>Thottambedu</t>
  </si>
  <si>
    <t>204.68568886220612</t>
  </si>
  <si>
    <t>05380</t>
  </si>
  <si>
    <t>Buchinaidu Kandriga</t>
  </si>
  <si>
    <t>158.27835372063853</t>
  </si>
  <si>
    <t>05381</t>
  </si>
  <si>
    <t>Varadaiahpalem</t>
  </si>
  <si>
    <t>212.62498793914901</t>
  </si>
  <si>
    <t>05382</t>
  </si>
  <si>
    <t>K.V.B.Puram</t>
  </si>
  <si>
    <t>493.48530720327625</t>
  </si>
  <si>
    <t>05383</t>
  </si>
  <si>
    <t>Tirupati (Urban)</t>
  </si>
  <si>
    <t>405.69615232050779</t>
  </si>
  <si>
    <t>05384</t>
  </si>
  <si>
    <t>Chandragiri</t>
  </si>
  <si>
    <t>328.39458816214068</t>
  </si>
  <si>
    <t>05385</t>
  </si>
  <si>
    <t>Chinnagottigallu</t>
  </si>
  <si>
    <t>174.4919862345487</t>
  </si>
  <si>
    <t>05386</t>
  </si>
  <si>
    <t>Pileru</t>
  </si>
  <si>
    <t>299.56132808730985</t>
  </si>
  <si>
    <t>05387</t>
  </si>
  <si>
    <t>Kalikiri</t>
  </si>
  <si>
    <t>175.75090322373148</t>
  </si>
  <si>
    <t>05388</t>
  </si>
  <si>
    <t>Valmikipuram</t>
  </si>
  <si>
    <t>209.13250854980328</t>
  </si>
  <si>
    <t>05389</t>
  </si>
  <si>
    <t>Kurabalakota</t>
  </si>
  <si>
    <t>177.37531224203181</t>
  </si>
  <si>
    <t>05390</t>
  </si>
  <si>
    <t>Pedda Thippasamudram</t>
  </si>
  <si>
    <t>287.85543059918308</t>
  </si>
  <si>
    <t>05391</t>
  </si>
  <si>
    <t>B.Kothakota</t>
  </si>
  <si>
    <t>275.85510897648936</t>
  </si>
  <si>
    <t>05392</t>
  </si>
  <si>
    <t>Madanapalle</t>
  </si>
  <si>
    <t>347.34941089443271</t>
  </si>
  <si>
    <t>05393</t>
  </si>
  <si>
    <t>Nimmanapalle</t>
  </si>
  <si>
    <t>232.89964299881001</t>
  </si>
  <si>
    <t>05394</t>
  </si>
  <si>
    <t>Sodam</t>
  </si>
  <si>
    <t>205.30499480043312</t>
  </si>
  <si>
    <t>05395</t>
  </si>
  <si>
    <t>Pulicherla</t>
  </si>
  <si>
    <t>236.46319028270634</t>
  </si>
  <si>
    <t>05396</t>
  </si>
  <si>
    <t>Pakala</t>
  </si>
  <si>
    <t>169.07052113597135</t>
  </si>
  <si>
    <t>05397</t>
  </si>
  <si>
    <t>Vedurukuppam</t>
  </si>
  <si>
    <t>314.34345015384287</t>
  </si>
  <si>
    <t>05398</t>
  </si>
  <si>
    <t>164.43080287745104</t>
  </si>
  <si>
    <t>05399</t>
  </si>
  <si>
    <t>Vadamalapeta</t>
  </si>
  <si>
    <t>98.104152148975629</t>
  </si>
  <si>
    <t>05400</t>
  </si>
  <si>
    <t>Narayanavanam</t>
  </si>
  <si>
    <t>229.99601187859815</t>
  </si>
  <si>
    <t>05401</t>
  </si>
  <si>
    <t>Pichatur</t>
  </si>
  <si>
    <t>125.46529155097184</t>
  </si>
  <si>
    <t>05402</t>
  </si>
  <si>
    <t>Satyavedu</t>
  </si>
  <si>
    <t>247.062459127116</t>
  </si>
  <si>
    <t>05403</t>
  </si>
  <si>
    <t>Nagalapuram</t>
  </si>
  <si>
    <t>291.77431735583264</t>
  </si>
  <si>
    <t>05404</t>
  </si>
  <si>
    <t>Nindra</t>
  </si>
  <si>
    <t>75.585782132787287</t>
  </si>
  <si>
    <t>05405</t>
  </si>
  <si>
    <t>Vijayapuram</t>
  </si>
  <si>
    <t>101.00778326918747</t>
  </si>
  <si>
    <t>05406</t>
  </si>
  <si>
    <t>Nagari</t>
  </si>
  <si>
    <t>102.75402296386032</t>
  </si>
  <si>
    <t>05407</t>
  </si>
  <si>
    <t>Puttur</t>
  </si>
  <si>
    <t>139.04941196650836</t>
  </si>
  <si>
    <t>05408</t>
  </si>
  <si>
    <t>Karvetinagar</t>
  </si>
  <si>
    <t>155.70975696045113</t>
  </si>
  <si>
    <t>05409</t>
  </si>
  <si>
    <t>Penumuru</t>
  </si>
  <si>
    <t>154.11580561124396</t>
  </si>
  <si>
    <t>05410</t>
  </si>
  <si>
    <t>Puthalapattu</t>
  </si>
  <si>
    <t>169.060368579607</t>
  </si>
  <si>
    <t>05411</t>
  </si>
  <si>
    <t>Irala</t>
  </si>
  <si>
    <t>236.52410562089261</t>
  </si>
  <si>
    <t>05412</t>
  </si>
  <si>
    <t>Somala</t>
  </si>
  <si>
    <t>471.59639568167933</t>
  </si>
  <si>
    <t>05413</t>
  </si>
  <si>
    <t>Chowdepalle</t>
  </si>
  <si>
    <t>217.52867266314311</t>
  </si>
  <si>
    <t>05414</t>
  </si>
  <si>
    <t>Ramasamudram</t>
  </si>
  <si>
    <t>223.18364655810115</t>
  </si>
  <si>
    <t>05415</t>
  </si>
  <si>
    <t>Punganur</t>
  </si>
  <si>
    <t>256.63631977872359</t>
  </si>
  <si>
    <t>05416</t>
  </si>
  <si>
    <t>Peddapanjani</t>
  </si>
  <si>
    <t>214.54382109201626</t>
  </si>
  <si>
    <t>05417</t>
  </si>
  <si>
    <t>05418</t>
  </si>
  <si>
    <t>Thavanampalle</t>
  </si>
  <si>
    <t>154.7046538803778</t>
  </si>
  <si>
    <t>05419</t>
  </si>
  <si>
    <t>Srirangarajapuram</t>
  </si>
  <si>
    <t>116.91683909216634</t>
  </si>
  <si>
    <t>05420</t>
  </si>
  <si>
    <t>Gangadhara Nellore</t>
  </si>
  <si>
    <t>200.77695466192094</t>
  </si>
  <si>
    <t>05421</t>
  </si>
  <si>
    <t>Chittoor</t>
  </si>
  <si>
    <t>177.08088810746486</t>
  </si>
  <si>
    <t>05422</t>
  </si>
  <si>
    <t>Palamaner</t>
  </si>
  <si>
    <t>236.57486840271451</t>
  </si>
  <si>
    <t>05423</t>
  </si>
  <si>
    <t>Baireddipalle</t>
  </si>
  <si>
    <t>268.60618373232415</t>
  </si>
  <si>
    <t>05424</t>
  </si>
  <si>
    <t>Venkatagirikota</t>
  </si>
  <si>
    <t>288.44427886831699</t>
  </si>
  <si>
    <t>05425</t>
  </si>
  <si>
    <t>Santhipuram</t>
  </si>
  <si>
    <t>185.72071357354977</t>
  </si>
  <si>
    <t>05426</t>
  </si>
  <si>
    <t>Gudupalle</t>
  </si>
  <si>
    <t>150.11569840367937</t>
  </si>
  <si>
    <t>05427</t>
  </si>
  <si>
    <t>Kuppam</t>
  </si>
  <si>
    <t>362.75083889919273</t>
  </si>
  <si>
    <t>05428</t>
  </si>
  <si>
    <t>Ramakuppam</t>
  </si>
  <si>
    <t>329.06465688218964</t>
  </si>
  <si>
    <t>05429</t>
  </si>
  <si>
    <t>Bangarupalem</t>
  </si>
  <si>
    <t>346.22247713798686</t>
  </si>
  <si>
    <t>05430</t>
  </si>
  <si>
    <t>Yadamarri</t>
  </si>
  <si>
    <t>176.48188728196664</t>
  </si>
  <si>
    <t>05431</t>
  </si>
  <si>
    <t>Gudipala</t>
  </si>
  <si>
    <t>189.92387190840185</t>
  </si>
  <si>
    <t>05432</t>
  </si>
  <si>
    <t>Palasamudram</t>
  </si>
  <si>
    <t>215.42709349571706</t>
  </si>
  <si>
    <t>05433</t>
  </si>
  <si>
    <t>Chikodi</t>
  </si>
  <si>
    <t>05434</t>
  </si>
  <si>
    <t>Athni</t>
  </si>
  <si>
    <t>1991</t>
  </si>
  <si>
    <t>05435</t>
  </si>
  <si>
    <t>Raybag</t>
  </si>
  <si>
    <t>05436</t>
  </si>
  <si>
    <t>Gokak</t>
  </si>
  <si>
    <t>05437</t>
  </si>
  <si>
    <t>Hukeri</t>
  </si>
  <si>
    <t>987</t>
  </si>
  <si>
    <t>05438</t>
  </si>
  <si>
    <t>Belgaum</t>
  </si>
  <si>
    <t>05439</t>
  </si>
  <si>
    <t>1742</t>
  </si>
  <si>
    <t>05440</t>
  </si>
  <si>
    <t>Sampgaon</t>
  </si>
  <si>
    <t>05441</t>
  </si>
  <si>
    <t>Parasgad</t>
  </si>
  <si>
    <t>1578</t>
  </si>
  <si>
    <t>05442</t>
  </si>
  <si>
    <t>Ramdurg</t>
  </si>
  <si>
    <t>556</t>
  </si>
  <si>
    <t>05443</t>
  </si>
  <si>
    <t>Jamkhandi</t>
  </si>
  <si>
    <t>1159</t>
  </si>
  <si>
    <t>05444</t>
  </si>
  <si>
    <t>Bilgi</t>
  </si>
  <si>
    <t>05445</t>
  </si>
  <si>
    <t>Mudhol</t>
  </si>
  <si>
    <t>934.21</t>
  </si>
  <si>
    <t>05446</t>
  </si>
  <si>
    <t>Badami</t>
  </si>
  <si>
    <t>1384</t>
  </si>
  <si>
    <t>05447</t>
  </si>
  <si>
    <t>Bagalkot</t>
  </si>
  <si>
    <t>05448</t>
  </si>
  <si>
    <t>Hungund</t>
  </si>
  <si>
    <t>9.8000000000000007</t>
  </si>
  <si>
    <t>05449</t>
  </si>
  <si>
    <t>2648</t>
  </si>
  <si>
    <t>05450</t>
  </si>
  <si>
    <t>Indi</t>
  </si>
  <si>
    <t>2215</t>
  </si>
  <si>
    <t>05451</t>
  </si>
  <si>
    <t>Sindgi</t>
  </si>
  <si>
    <t>2168</t>
  </si>
  <si>
    <t>05452</t>
  </si>
  <si>
    <t>Basavana Bagevadi</t>
  </si>
  <si>
    <t>1973</t>
  </si>
  <si>
    <t>05453</t>
  </si>
  <si>
    <t>Muddebihal</t>
  </si>
  <si>
    <t>1494</t>
  </si>
  <si>
    <t>558</t>
  </si>
  <si>
    <t>05454</t>
  </si>
  <si>
    <t>Basavakalyan</t>
  </si>
  <si>
    <t>05455</t>
  </si>
  <si>
    <t>Bhalki</t>
  </si>
  <si>
    <t>05456</t>
  </si>
  <si>
    <t>Aurad</t>
  </si>
  <si>
    <t>05457</t>
  </si>
  <si>
    <t>Bidar</t>
  </si>
  <si>
    <t>05458</t>
  </si>
  <si>
    <t>Homnabad</t>
  </si>
  <si>
    <t>982</t>
  </si>
  <si>
    <t>05459</t>
  </si>
  <si>
    <t>Lingsugur</t>
  </si>
  <si>
    <t>1967</t>
  </si>
  <si>
    <t>05460</t>
  </si>
  <si>
    <t>Devadurga</t>
  </si>
  <si>
    <t>05461</t>
  </si>
  <si>
    <t>Raichur</t>
  </si>
  <si>
    <t>05462</t>
  </si>
  <si>
    <t>Manvi</t>
  </si>
  <si>
    <t>1809</t>
  </si>
  <si>
    <t>05463</t>
  </si>
  <si>
    <t>Sindhnur</t>
  </si>
  <si>
    <t>1616</t>
  </si>
  <si>
    <t>05464</t>
  </si>
  <si>
    <t>Yelbarga</t>
  </si>
  <si>
    <t>1495</t>
  </si>
  <si>
    <t>05465</t>
  </si>
  <si>
    <t>Kushtagi</t>
  </si>
  <si>
    <t>1364</t>
  </si>
  <si>
    <t>05466</t>
  </si>
  <si>
    <t>Gangawati</t>
  </si>
  <si>
    <t>05467</t>
  </si>
  <si>
    <t>Koppal</t>
  </si>
  <si>
    <t>05468</t>
  </si>
  <si>
    <t>Nargund</t>
  </si>
  <si>
    <t>05469</t>
  </si>
  <si>
    <t>Ron</t>
  </si>
  <si>
    <t>05470</t>
  </si>
  <si>
    <t>Gadag</t>
  </si>
  <si>
    <t>1092</t>
  </si>
  <si>
    <t>05471</t>
  </si>
  <si>
    <t>Shirhatti</t>
  </si>
  <si>
    <t>05472</t>
  </si>
  <si>
    <t>Mundargi</t>
  </si>
  <si>
    <t>05473</t>
  </si>
  <si>
    <t>Dharwad</t>
  </si>
  <si>
    <t>05474</t>
  </si>
  <si>
    <t>Navalgund</t>
  </si>
  <si>
    <t>05475</t>
  </si>
  <si>
    <t>Hubli</t>
  </si>
  <si>
    <t>05476</t>
  </si>
  <si>
    <t>Kalghatgi</t>
  </si>
  <si>
    <t>05477</t>
  </si>
  <si>
    <t>Kundgol</t>
  </si>
  <si>
    <t>213.42</t>
  </si>
  <si>
    <t>05478</t>
  </si>
  <si>
    <t>Karwar</t>
  </si>
  <si>
    <t>05479</t>
  </si>
  <si>
    <t>Supa</t>
  </si>
  <si>
    <t>1881.81</t>
  </si>
  <si>
    <t>05480</t>
  </si>
  <si>
    <t>Haliyal</t>
  </si>
  <si>
    <t>845</t>
  </si>
  <si>
    <t>05481</t>
  </si>
  <si>
    <t>Yellapur</t>
  </si>
  <si>
    <t>1313</t>
  </si>
  <si>
    <t>05482</t>
  </si>
  <si>
    <t>Mundgod</t>
  </si>
  <si>
    <t>05483</t>
  </si>
  <si>
    <t>Sirsi</t>
  </si>
  <si>
    <t>05484</t>
  </si>
  <si>
    <t>Ankola</t>
  </si>
  <si>
    <t>05485</t>
  </si>
  <si>
    <t>Kumta</t>
  </si>
  <si>
    <t>05486</t>
  </si>
  <si>
    <t>Siddapur</t>
  </si>
  <si>
    <t>865</t>
  </si>
  <si>
    <t>05487</t>
  </si>
  <si>
    <t>Honavar</t>
  </si>
  <si>
    <t>05488</t>
  </si>
  <si>
    <t>Bhatkal</t>
  </si>
  <si>
    <t>8.52</t>
  </si>
  <si>
    <t>564</t>
  </si>
  <si>
    <t>05489</t>
  </si>
  <si>
    <t>Shiggaon</t>
  </si>
  <si>
    <t>05490</t>
  </si>
  <si>
    <t>Savanur</t>
  </si>
  <si>
    <t>05491</t>
  </si>
  <si>
    <t>Hangal</t>
  </si>
  <si>
    <t>05492</t>
  </si>
  <si>
    <t>Haveri</t>
  </si>
  <si>
    <t>05493</t>
  </si>
  <si>
    <t>Byadgi</t>
  </si>
  <si>
    <t>05494</t>
  </si>
  <si>
    <t>Hirekerur</t>
  </si>
  <si>
    <t>801</t>
  </si>
  <si>
    <t>05495</t>
  </si>
  <si>
    <t>Ranibennur</t>
  </si>
  <si>
    <t>565</t>
  </si>
  <si>
    <t>05496</t>
  </si>
  <si>
    <t>Hadagalli</t>
  </si>
  <si>
    <t>948</t>
  </si>
  <si>
    <t>05497</t>
  </si>
  <si>
    <t>Hagaribommanahalli</t>
  </si>
  <si>
    <t>05498</t>
  </si>
  <si>
    <t>Hospet</t>
  </si>
  <si>
    <t>05499</t>
  </si>
  <si>
    <t>Siruguppa</t>
  </si>
  <si>
    <t>05500</t>
  </si>
  <si>
    <t>Bellary</t>
  </si>
  <si>
    <t>05501</t>
  </si>
  <si>
    <t>Sandur</t>
  </si>
  <si>
    <t>05502</t>
  </si>
  <si>
    <t>Kudligi</t>
  </si>
  <si>
    <t>1593</t>
  </si>
  <si>
    <t>05503</t>
  </si>
  <si>
    <t>Molakalmuru</t>
  </si>
  <si>
    <t>05504</t>
  </si>
  <si>
    <t>Challakere</t>
  </si>
  <si>
    <t>2074</t>
  </si>
  <si>
    <t>05505</t>
  </si>
  <si>
    <t>Chitradurga</t>
  </si>
  <si>
    <t>05506</t>
  </si>
  <si>
    <t>Holalkere</t>
  </si>
  <si>
    <t>05507</t>
  </si>
  <si>
    <t>Hosdurga</t>
  </si>
  <si>
    <t>1438</t>
  </si>
  <si>
    <t>05508</t>
  </si>
  <si>
    <t>Hiriyur</t>
  </si>
  <si>
    <t>05509</t>
  </si>
  <si>
    <t>Harihar</t>
  </si>
  <si>
    <t>05510</t>
  </si>
  <si>
    <t>Harapanahalli</t>
  </si>
  <si>
    <t>1435</t>
  </si>
  <si>
    <t>05511</t>
  </si>
  <si>
    <t>Jagalur</t>
  </si>
  <si>
    <t>05512</t>
  </si>
  <si>
    <t>Davanagere</t>
  </si>
  <si>
    <t>05513</t>
  </si>
  <si>
    <t>Honnali</t>
  </si>
  <si>
    <t>866</t>
  </si>
  <si>
    <t>05514</t>
  </si>
  <si>
    <t>Channagiri</t>
  </si>
  <si>
    <t>1210</t>
  </si>
  <si>
    <t>568</t>
  </si>
  <si>
    <t>05515</t>
  </si>
  <si>
    <t>Sagar</t>
  </si>
  <si>
    <t>1935</t>
  </si>
  <si>
    <t>05516</t>
  </si>
  <si>
    <t>Sorab</t>
  </si>
  <si>
    <t>05517</t>
  </si>
  <si>
    <t>05518</t>
  </si>
  <si>
    <t>Hosanagara</t>
  </si>
  <si>
    <t>1428</t>
  </si>
  <si>
    <t>05519</t>
  </si>
  <si>
    <t>Tirthahalli</t>
  </si>
  <si>
    <t>05520</t>
  </si>
  <si>
    <t>Shimoga</t>
  </si>
  <si>
    <t>05521</t>
  </si>
  <si>
    <t>Bhadravati</t>
  </si>
  <si>
    <t>05522</t>
  </si>
  <si>
    <t>Kundapura</t>
  </si>
  <si>
    <t>05523</t>
  </si>
  <si>
    <t>Udupi</t>
  </si>
  <si>
    <t>939</t>
  </si>
  <si>
    <t>599</t>
  </si>
  <si>
    <t>05524</t>
  </si>
  <si>
    <t>Karkal</t>
  </si>
  <si>
    <t>1074</t>
  </si>
  <si>
    <t>05525</t>
  </si>
  <si>
    <t>Sringeri</t>
  </si>
  <si>
    <t>05526</t>
  </si>
  <si>
    <t>Koppa</t>
  </si>
  <si>
    <t>05527</t>
  </si>
  <si>
    <t>Narasimharajapura</t>
  </si>
  <si>
    <t>05528</t>
  </si>
  <si>
    <t>Tarikere</t>
  </si>
  <si>
    <t>1221</t>
  </si>
  <si>
    <t>05529</t>
  </si>
  <si>
    <t>Kadur</t>
  </si>
  <si>
    <t>1421</t>
  </si>
  <si>
    <t>05530</t>
  </si>
  <si>
    <t>Chikmagalur</t>
  </si>
  <si>
    <t>05531</t>
  </si>
  <si>
    <t>Mudigere</t>
  </si>
  <si>
    <t>571</t>
  </si>
  <si>
    <t>05532</t>
  </si>
  <si>
    <t>Chiknayakanhalli</t>
  </si>
  <si>
    <t>05533</t>
  </si>
  <si>
    <t>Sira</t>
  </si>
  <si>
    <t>05534</t>
  </si>
  <si>
    <t>Pavagada</t>
  </si>
  <si>
    <t>05535</t>
  </si>
  <si>
    <t>Madhugiri</t>
  </si>
  <si>
    <t>05536</t>
  </si>
  <si>
    <t>Koratagere</t>
  </si>
  <si>
    <t>647</t>
  </si>
  <si>
    <t>05537</t>
  </si>
  <si>
    <t>Tumkur</t>
  </si>
  <si>
    <t>05538</t>
  </si>
  <si>
    <t>Gubbi</t>
  </si>
  <si>
    <t>05539</t>
  </si>
  <si>
    <t>Tiptur</t>
  </si>
  <si>
    <t>05540</t>
  </si>
  <si>
    <t>Turuvekere</t>
  </si>
  <si>
    <t>05541</t>
  </si>
  <si>
    <t>Kunigal</t>
  </si>
  <si>
    <t>981</t>
  </si>
  <si>
    <t>05542</t>
  </si>
  <si>
    <t>Bangalore North</t>
  </si>
  <si>
    <t>05543</t>
  </si>
  <si>
    <t>Bangalore South</t>
  </si>
  <si>
    <t>341.32</t>
  </si>
  <si>
    <t>05544</t>
  </si>
  <si>
    <t>Bangalore East</t>
  </si>
  <si>
    <t>129.47999999999999</t>
  </si>
  <si>
    <t>05545</t>
  </si>
  <si>
    <t>Anekal</t>
  </si>
  <si>
    <t>573</t>
  </si>
  <si>
    <t>05546</t>
  </si>
  <si>
    <t>Krishnarajpet</t>
  </si>
  <si>
    <t>05547</t>
  </si>
  <si>
    <t>Nagamangala</t>
  </si>
  <si>
    <t>05548</t>
  </si>
  <si>
    <t>Pandavapura</t>
  </si>
  <si>
    <t>05549</t>
  </si>
  <si>
    <t>Shrirangapattana</t>
  </si>
  <si>
    <t>05550</t>
  </si>
  <si>
    <t>Mandya</t>
  </si>
  <si>
    <t>713</t>
  </si>
  <si>
    <t>05551</t>
  </si>
  <si>
    <t>Maddur</t>
  </si>
  <si>
    <t>05552</t>
  </si>
  <si>
    <t>Malavalli</t>
  </si>
  <si>
    <t>05553</t>
  </si>
  <si>
    <t>Sakleshpur</t>
  </si>
  <si>
    <t>05554</t>
  </si>
  <si>
    <t>Belur</t>
  </si>
  <si>
    <t>05555</t>
  </si>
  <si>
    <t>Arsikere</t>
  </si>
  <si>
    <t>1265</t>
  </si>
  <si>
    <t>05556</t>
  </si>
  <si>
    <t>Hassan</t>
  </si>
  <si>
    <t>933</t>
  </si>
  <si>
    <t>05557</t>
  </si>
  <si>
    <t>Alur</t>
  </si>
  <si>
    <t>05558</t>
  </si>
  <si>
    <t>Arkalgud</t>
  </si>
  <si>
    <t>05559</t>
  </si>
  <si>
    <t>Hole Narsipur</t>
  </si>
  <si>
    <t>05560</t>
  </si>
  <si>
    <t>Channarayapatna</t>
  </si>
  <si>
    <t>05561</t>
  </si>
  <si>
    <t>Mangalore</t>
  </si>
  <si>
    <t>05562</t>
  </si>
  <si>
    <t>Bantval</t>
  </si>
  <si>
    <t>05563</t>
  </si>
  <si>
    <t>Beltangadi</t>
  </si>
  <si>
    <t>05564</t>
  </si>
  <si>
    <t>05565</t>
  </si>
  <si>
    <t>Sulya</t>
  </si>
  <si>
    <t>847</t>
  </si>
  <si>
    <t>05566</t>
  </si>
  <si>
    <t>Madikeri</t>
  </si>
  <si>
    <t>1445</t>
  </si>
  <si>
    <t>05567</t>
  </si>
  <si>
    <t>Somvarpet</t>
  </si>
  <si>
    <t>05568</t>
  </si>
  <si>
    <t>Virajpet</t>
  </si>
  <si>
    <t>1654</t>
  </si>
  <si>
    <t>05569</t>
  </si>
  <si>
    <t>Piriyapatna</t>
  </si>
  <si>
    <t>05570</t>
  </si>
  <si>
    <t>Hunsur</t>
  </si>
  <si>
    <t>05571</t>
  </si>
  <si>
    <t>Krishnarajanagara</t>
  </si>
  <si>
    <t>608</t>
  </si>
  <si>
    <t>05572</t>
  </si>
  <si>
    <t>Mysore</t>
  </si>
  <si>
    <t>05573</t>
  </si>
  <si>
    <t>Heggadadevankote</t>
  </si>
  <si>
    <t>1618</t>
  </si>
  <si>
    <t>05574</t>
  </si>
  <si>
    <t>Nanjangud</t>
  </si>
  <si>
    <t>05575</t>
  </si>
  <si>
    <t>Tirumakudal - Narsipur</t>
  </si>
  <si>
    <t>05576</t>
  </si>
  <si>
    <t>Gundlupet</t>
  </si>
  <si>
    <t>1372</t>
  </si>
  <si>
    <t>05577</t>
  </si>
  <si>
    <t>Chamarajanagar</t>
  </si>
  <si>
    <t>05578</t>
  </si>
  <si>
    <t>Yelandur</t>
  </si>
  <si>
    <t>05579</t>
  </si>
  <si>
    <t>Kollegal</t>
  </si>
  <si>
    <t>2789</t>
  </si>
  <si>
    <t>05580</t>
  </si>
  <si>
    <t>Aland</t>
  </si>
  <si>
    <t>1745</t>
  </si>
  <si>
    <t>05581</t>
  </si>
  <si>
    <t>Afzalpur</t>
  </si>
  <si>
    <t>1307</t>
  </si>
  <si>
    <t>05582</t>
  </si>
  <si>
    <t>Gulbarga</t>
  </si>
  <si>
    <t>05583</t>
  </si>
  <si>
    <t>Chincholi</t>
  </si>
  <si>
    <t>1550</t>
  </si>
  <si>
    <t>05584</t>
  </si>
  <si>
    <t>Sedam</t>
  </si>
  <si>
    <t>1021</t>
  </si>
  <si>
    <t>05585</t>
  </si>
  <si>
    <t>Chitapur</t>
  </si>
  <si>
    <t>1750</t>
  </si>
  <si>
    <t>05586</t>
  </si>
  <si>
    <t>Jevargi</t>
  </si>
  <si>
    <t>05587</t>
  </si>
  <si>
    <t>Shorapur</t>
  </si>
  <si>
    <t>05588</t>
  </si>
  <si>
    <t>1706</t>
  </si>
  <si>
    <t>05589</t>
  </si>
  <si>
    <t>Yadgir</t>
  </si>
  <si>
    <t>05590</t>
  </si>
  <si>
    <t>Srinivaspur</t>
  </si>
  <si>
    <t>05591</t>
  </si>
  <si>
    <t>Kolar</t>
  </si>
  <si>
    <t>05592</t>
  </si>
  <si>
    <t>Malur</t>
  </si>
  <si>
    <t>05593</t>
  </si>
  <si>
    <t>Bangarapet</t>
  </si>
  <si>
    <t>05594</t>
  </si>
  <si>
    <t>Mulbagal</t>
  </si>
  <si>
    <t>05595</t>
  </si>
  <si>
    <t>Gauribidanur</t>
  </si>
  <si>
    <t>05596</t>
  </si>
  <si>
    <t>Chikkaballapura</t>
  </si>
  <si>
    <t>638</t>
  </si>
  <si>
    <t>05597</t>
  </si>
  <si>
    <t>Gudibanda</t>
  </si>
  <si>
    <t>05598</t>
  </si>
  <si>
    <t>Bagepalli</t>
  </si>
  <si>
    <t>929</t>
  </si>
  <si>
    <t>05599</t>
  </si>
  <si>
    <t>Sidlaghatta</t>
  </si>
  <si>
    <t>05600</t>
  </si>
  <si>
    <t>Chintamani</t>
  </si>
  <si>
    <t>05601</t>
  </si>
  <si>
    <t>Nelamangala</t>
  </si>
  <si>
    <t>05602</t>
  </si>
  <si>
    <t>Dod Ballapur</t>
  </si>
  <si>
    <t>05603</t>
  </si>
  <si>
    <t>Devanahalli</t>
  </si>
  <si>
    <t>05604</t>
  </si>
  <si>
    <t>Hosakote</t>
  </si>
  <si>
    <t>05605</t>
  </si>
  <si>
    <t>Magadi</t>
  </si>
  <si>
    <t>05606</t>
  </si>
  <si>
    <t>Ramanagara</t>
  </si>
  <si>
    <t>05607</t>
  </si>
  <si>
    <t>Channapatna</t>
  </si>
  <si>
    <t>05608</t>
  </si>
  <si>
    <t>Kanakapura</t>
  </si>
  <si>
    <t>05609</t>
  </si>
  <si>
    <t>Pernem</t>
  </si>
  <si>
    <t>251.68</t>
  </si>
  <si>
    <t>05610</t>
  </si>
  <si>
    <t>Bardez</t>
  </si>
  <si>
    <t>263.98</t>
  </si>
  <si>
    <t>05611</t>
  </si>
  <si>
    <t>Tiswadi</t>
  </si>
  <si>
    <t>193.64</t>
  </si>
  <si>
    <t>05612</t>
  </si>
  <si>
    <t>Bicholim</t>
  </si>
  <si>
    <t>238.79</t>
  </si>
  <si>
    <t>05613</t>
  </si>
  <si>
    <t>Satari</t>
  </si>
  <si>
    <t>495.13</t>
  </si>
  <si>
    <t>05614</t>
  </si>
  <si>
    <t>Ponda</t>
  </si>
  <si>
    <t>292.77999999999997</t>
  </si>
  <si>
    <t>05615</t>
  </si>
  <si>
    <t>Mormugao</t>
  </si>
  <si>
    <t>109.12</t>
  </si>
  <si>
    <t>05616</t>
  </si>
  <si>
    <t>Salcete</t>
  </si>
  <si>
    <t>298.16000000000003</t>
  </si>
  <si>
    <t>05617</t>
  </si>
  <si>
    <t>Quepem</t>
  </si>
  <si>
    <t>318.24</t>
  </si>
  <si>
    <t>05618</t>
  </si>
  <si>
    <t>Sanguem</t>
  </si>
  <si>
    <t>888.44</t>
  </si>
  <si>
    <t>05619</t>
  </si>
  <si>
    <t>Canacona</t>
  </si>
  <si>
    <t>352.04</t>
  </si>
  <si>
    <t>05620</t>
  </si>
  <si>
    <t>Amini</t>
  </si>
  <si>
    <t>2.59</t>
  </si>
  <si>
    <t>05621</t>
  </si>
  <si>
    <t>Bitra</t>
  </si>
  <si>
    <t>0.11</t>
  </si>
  <si>
    <t>05622</t>
  </si>
  <si>
    <t>Chetlat</t>
  </si>
  <si>
    <t>05623</t>
  </si>
  <si>
    <t>Kiltan</t>
  </si>
  <si>
    <t>2.97</t>
  </si>
  <si>
    <t>05624</t>
  </si>
  <si>
    <t>Kadmat</t>
  </si>
  <si>
    <t>3.12</t>
  </si>
  <si>
    <t>05625</t>
  </si>
  <si>
    <t>Kavaratti</t>
  </si>
  <si>
    <t>4.2</t>
  </si>
  <si>
    <t>05626</t>
  </si>
  <si>
    <t>Agatti</t>
  </si>
  <si>
    <t>3.84</t>
  </si>
  <si>
    <t>05627</t>
  </si>
  <si>
    <t>Andrott</t>
  </si>
  <si>
    <t>4.84</t>
  </si>
  <si>
    <t>05628</t>
  </si>
  <si>
    <t>Kalpeni</t>
  </si>
  <si>
    <t>2.76</t>
  </si>
  <si>
    <t>05629</t>
  </si>
  <si>
    <t>Minicoy</t>
  </si>
  <si>
    <t>4.57</t>
  </si>
  <si>
    <t>588</t>
  </si>
  <si>
    <t>05630</t>
  </si>
  <si>
    <t>Kasaragod</t>
  </si>
  <si>
    <t>972.59</t>
  </si>
  <si>
    <t>05631</t>
  </si>
  <si>
    <t>Hosdurg</t>
  </si>
  <si>
    <t>988.91</t>
  </si>
  <si>
    <t>05632</t>
  </si>
  <si>
    <t>Taliparamba</t>
  </si>
  <si>
    <t>1330.66</t>
  </si>
  <si>
    <t>05633</t>
  </si>
  <si>
    <t>Kannur</t>
  </si>
  <si>
    <t>430.56</t>
  </si>
  <si>
    <t>05634</t>
  </si>
  <si>
    <t>Thalassery</t>
  </si>
  <si>
    <t>1206.06</t>
  </si>
  <si>
    <t>05635</t>
  </si>
  <si>
    <t>Mananthavady</t>
  </si>
  <si>
    <t>740.43</t>
  </si>
  <si>
    <t>05636</t>
  </si>
  <si>
    <t>Sulthanbathery</t>
  </si>
  <si>
    <t>774.86</t>
  </si>
  <si>
    <t>05637</t>
  </si>
  <si>
    <t>Vythiri</t>
  </si>
  <si>
    <t>611.17999999999995</t>
  </si>
  <si>
    <t>05638</t>
  </si>
  <si>
    <t>Vadakara</t>
  </si>
  <si>
    <t>575.57000000000005</t>
  </si>
  <si>
    <t>05639</t>
  </si>
  <si>
    <t>Quilandy</t>
  </si>
  <si>
    <t>731.11</t>
  </si>
  <si>
    <t>05640</t>
  </si>
  <si>
    <t>Kozhikode</t>
  </si>
  <si>
    <t>1032.08</t>
  </si>
  <si>
    <t>05641</t>
  </si>
  <si>
    <t>Ernad</t>
  </si>
  <si>
    <t>703.85</t>
  </si>
  <si>
    <t>05642</t>
  </si>
  <si>
    <t>Nilambur</t>
  </si>
  <si>
    <t>1343.29</t>
  </si>
  <si>
    <t>05643</t>
  </si>
  <si>
    <t>Perinthalmanna</t>
  </si>
  <si>
    <t>505.91</t>
  </si>
  <si>
    <t>05644</t>
  </si>
  <si>
    <t>Tirur</t>
  </si>
  <si>
    <t>447.68</t>
  </si>
  <si>
    <t>05645</t>
  </si>
  <si>
    <t>Tirurangadi</t>
  </si>
  <si>
    <t>322.04000000000002</t>
  </si>
  <si>
    <t>05646</t>
  </si>
  <si>
    <t>Ponnani</t>
  </si>
  <si>
    <t>200.35</t>
  </si>
  <si>
    <t>593</t>
  </si>
  <si>
    <t>05647</t>
  </si>
  <si>
    <t>Ottappalam</t>
  </si>
  <si>
    <t>845.98</t>
  </si>
  <si>
    <t>05648</t>
  </si>
  <si>
    <t>Mannarkad</t>
  </si>
  <si>
    <t>1209.3900000000001</t>
  </si>
  <si>
    <t>05649</t>
  </si>
  <si>
    <t>Palakkad</t>
  </si>
  <si>
    <t>713.13</t>
  </si>
  <si>
    <t>05650</t>
  </si>
  <si>
    <t>Chittur</t>
  </si>
  <si>
    <t>1136.23</t>
  </si>
  <si>
    <t>05651</t>
  </si>
  <si>
    <t>Alathur</t>
  </si>
  <si>
    <t>571.07000000000005</t>
  </si>
  <si>
    <t>05652</t>
  </si>
  <si>
    <t>Talappilly</t>
  </si>
  <si>
    <t>679.36</t>
  </si>
  <si>
    <t>05653</t>
  </si>
  <si>
    <t>Chavakkad</t>
  </si>
  <si>
    <t>234.73</t>
  </si>
  <si>
    <t>05654</t>
  </si>
  <si>
    <t>Thrissur</t>
  </si>
  <si>
    <t>630.12</t>
  </si>
  <si>
    <t>05655</t>
  </si>
  <si>
    <t>Kodungallur</t>
  </si>
  <si>
    <t>145.38999999999999</t>
  </si>
  <si>
    <t>05656</t>
  </si>
  <si>
    <t>Mukundapuram</t>
  </si>
  <si>
    <t>1329.15</t>
  </si>
  <si>
    <t>05657</t>
  </si>
  <si>
    <t>Kunnathunad</t>
  </si>
  <si>
    <t>464.3</t>
  </si>
  <si>
    <t>05658</t>
  </si>
  <si>
    <t>Aluva</t>
  </si>
  <si>
    <t>531.59</t>
  </si>
  <si>
    <t>05659</t>
  </si>
  <si>
    <t>Paravur</t>
  </si>
  <si>
    <t>173.36</t>
  </si>
  <si>
    <t>05660</t>
  </si>
  <si>
    <t>Kochi</t>
  </si>
  <si>
    <t>129.38</t>
  </si>
  <si>
    <t>05661</t>
  </si>
  <si>
    <t>Kanayannur</t>
  </si>
  <si>
    <t>303.06</t>
  </si>
  <si>
    <t>05662</t>
  </si>
  <si>
    <t>Muvattupuzha</t>
  </si>
  <si>
    <t>521.89</t>
  </si>
  <si>
    <t>05663</t>
  </si>
  <si>
    <t>Kothamangalam</t>
  </si>
  <si>
    <t>927.91</t>
  </si>
  <si>
    <t>05664</t>
  </si>
  <si>
    <t>Devikulam</t>
  </si>
  <si>
    <t>1052.0899999999999</t>
  </si>
  <si>
    <t>05665</t>
  </si>
  <si>
    <t>Udumbanchola</t>
  </si>
  <si>
    <t>1077.1300000000001</t>
  </si>
  <si>
    <t>05666</t>
  </si>
  <si>
    <t>Thodupuzha</t>
  </si>
  <si>
    <t>884.93</t>
  </si>
  <si>
    <t>05667</t>
  </si>
  <si>
    <t>Peerumade</t>
  </si>
  <si>
    <t>1402.62</t>
  </si>
  <si>
    <t>05668</t>
  </si>
  <si>
    <t>Meenachil</t>
  </si>
  <si>
    <t>692.86</t>
  </si>
  <si>
    <t>05669</t>
  </si>
  <si>
    <t>Vaikom</t>
  </si>
  <si>
    <t>319.3</t>
  </si>
  <si>
    <t>05670</t>
  </si>
  <si>
    <t>Kottayam</t>
  </si>
  <si>
    <t>499.89</t>
  </si>
  <si>
    <t>05671</t>
  </si>
  <si>
    <t>Changanassery</t>
  </si>
  <si>
    <t>261.91000000000003</t>
  </si>
  <si>
    <t>05672</t>
  </si>
  <si>
    <t>Kanjirappally</t>
  </si>
  <si>
    <t>421.47</t>
  </si>
  <si>
    <t>05673</t>
  </si>
  <si>
    <t>Cherthala</t>
  </si>
  <si>
    <t>323.87</t>
  </si>
  <si>
    <t>05674</t>
  </si>
  <si>
    <t>Ambalappuzha</t>
  </si>
  <si>
    <t>189.07</t>
  </si>
  <si>
    <t>05675</t>
  </si>
  <si>
    <t>Kuttanad</t>
  </si>
  <si>
    <t>289.39</t>
  </si>
  <si>
    <t>05676</t>
  </si>
  <si>
    <t>Karthikappally</t>
  </si>
  <si>
    <t>221.87</t>
  </si>
  <si>
    <t>05677</t>
  </si>
  <si>
    <t>Chengannur</t>
  </si>
  <si>
    <t>141.87</t>
  </si>
  <si>
    <t>05678</t>
  </si>
  <si>
    <t>Mavelikkara</t>
  </si>
  <si>
    <t>236.84</t>
  </si>
  <si>
    <t>05679</t>
  </si>
  <si>
    <t>Thiruvalla</t>
  </si>
  <si>
    <t>151.94999999999999</t>
  </si>
  <si>
    <t>05680</t>
  </si>
  <si>
    <t>Mallappally</t>
  </si>
  <si>
    <t>168.83</t>
  </si>
  <si>
    <t>05681</t>
  </si>
  <si>
    <t>Ranni</t>
  </si>
  <si>
    <t>1049.9100000000001</t>
  </si>
  <si>
    <t>05682</t>
  </si>
  <si>
    <t>Kozhenchery</t>
  </si>
  <si>
    <t>1015.37</t>
  </si>
  <si>
    <t>05683</t>
  </si>
  <si>
    <t>Adoor</t>
  </si>
  <si>
    <t>308.57</t>
  </si>
  <si>
    <t>05684</t>
  </si>
  <si>
    <t>Karunagappally</t>
  </si>
  <si>
    <t>180.42</t>
  </si>
  <si>
    <t>05685</t>
  </si>
  <si>
    <t>Kunnathur</t>
  </si>
  <si>
    <t>138.08000000000001</t>
  </si>
  <si>
    <t>05686</t>
  </si>
  <si>
    <t>Pathanapuram</t>
  </si>
  <si>
    <t>1235.51</t>
  </si>
  <si>
    <t>05687</t>
  </si>
  <si>
    <t>Kottarakkara</t>
  </si>
  <si>
    <t>550.57000000000005</t>
  </si>
  <si>
    <t>05688</t>
  </si>
  <si>
    <t>Kollam</t>
  </si>
  <si>
    <t>380.21</t>
  </si>
  <si>
    <t>05689</t>
  </si>
  <si>
    <t>Chirayinkeezhu</t>
  </si>
  <si>
    <t>380.68</t>
  </si>
  <si>
    <t>05690</t>
  </si>
  <si>
    <t>Nedumangad</t>
  </si>
  <si>
    <t>926.77</t>
  </si>
  <si>
    <t>05691</t>
  </si>
  <si>
    <t>Thiruvananthapuram</t>
  </si>
  <si>
    <t>307.55</t>
  </si>
  <si>
    <t>05692</t>
  </si>
  <si>
    <t>Neyyattinkara</t>
  </si>
  <si>
    <t>570.91</t>
  </si>
  <si>
    <t>05693</t>
  </si>
  <si>
    <t>Gummidipoondi</t>
  </si>
  <si>
    <t>425.47272387982298</t>
  </si>
  <si>
    <t>05694</t>
  </si>
  <si>
    <t>Ponneri</t>
  </si>
  <si>
    <t>674.44092025248585</t>
  </si>
  <si>
    <t>05695</t>
  </si>
  <si>
    <t>Uthukkottai</t>
  </si>
  <si>
    <t>369.59688154429904</t>
  </si>
  <si>
    <t>05696</t>
  </si>
  <si>
    <t>Tiruttani</t>
  </si>
  <si>
    <t>447.86126308119299</t>
  </si>
  <si>
    <t>05697</t>
  </si>
  <si>
    <t>Pallipattu</t>
  </si>
  <si>
    <t>351.04867551532419</t>
  </si>
  <si>
    <t>610</t>
  </si>
  <si>
    <t>05698</t>
  </si>
  <si>
    <t>Thiruvallur</t>
  </si>
  <si>
    <t>667.08195721009577</t>
  </si>
  <si>
    <t>05699</t>
  </si>
  <si>
    <t>Poonamallee</t>
  </si>
  <si>
    <t>151.28097795339499</t>
  </si>
  <si>
    <t>05700</t>
  </si>
  <si>
    <t>Ambattur</t>
  </si>
  <si>
    <t>180.42528650515544</t>
  </si>
  <si>
    <t>05701</t>
  </si>
  <si>
    <t>Mathavaram</t>
  </si>
  <si>
    <t>126.79131405822815</t>
  </si>
  <si>
    <t>603</t>
  </si>
  <si>
    <t>05702</t>
  </si>
  <si>
    <t>Sriperumbudur</t>
  </si>
  <si>
    <t>642.29398289711696</t>
  </si>
  <si>
    <t>05703</t>
  </si>
  <si>
    <t>Tambaram</t>
  </si>
  <si>
    <t>62.462256044276664</t>
  </si>
  <si>
    <t>05704</t>
  </si>
  <si>
    <t>Alandur</t>
  </si>
  <si>
    <t>88.62</t>
  </si>
  <si>
    <t>05705</t>
  </si>
  <si>
    <t>Sholinganallur</t>
  </si>
  <si>
    <t>116.20329176742065</t>
  </si>
  <si>
    <t>05706</t>
  </si>
  <si>
    <t>Chengalpattu</t>
  </si>
  <si>
    <t>778.01050734652347</t>
  </si>
  <si>
    <t>05707</t>
  </si>
  <si>
    <t>Kancheepuram</t>
  </si>
  <si>
    <t>636.22098701139623</t>
  </si>
  <si>
    <t>05708</t>
  </si>
  <si>
    <t>Uthiramerur</t>
  </si>
  <si>
    <t>427.44930877606288</t>
  </si>
  <si>
    <t>05709</t>
  </si>
  <si>
    <t>Tirukalukundram</t>
  </si>
  <si>
    <t>358.68507503398143</t>
  </si>
  <si>
    <t>05710</t>
  </si>
  <si>
    <t>Maduranthakam</t>
  </si>
  <si>
    <t>763.63443183999902</t>
  </si>
  <si>
    <t>05711</t>
  </si>
  <si>
    <t>Cheyyur</t>
  </si>
  <si>
    <t>609.42015926654574</t>
  </si>
  <si>
    <t>05712</t>
  </si>
  <si>
    <t>Gudiyatham</t>
  </si>
  <si>
    <t>722.72</t>
  </si>
  <si>
    <t>05713</t>
  </si>
  <si>
    <t>Katpadi</t>
  </si>
  <si>
    <t>509.09</t>
  </si>
  <si>
    <t>05714</t>
  </si>
  <si>
    <t>Wallajah</t>
  </si>
  <si>
    <t>05715</t>
  </si>
  <si>
    <t>Arakonam</t>
  </si>
  <si>
    <t>842.97</t>
  </si>
  <si>
    <t>05716</t>
  </si>
  <si>
    <t>Arcot</t>
  </si>
  <si>
    <t>524.05159547050721</t>
  </si>
  <si>
    <t>05717</t>
  </si>
  <si>
    <t>Vellore</t>
  </si>
  <si>
    <t>876.99</t>
  </si>
  <si>
    <t>05718</t>
  </si>
  <si>
    <t>Vaniyambadi</t>
  </si>
  <si>
    <t>532.28</t>
  </si>
  <si>
    <t>05719</t>
  </si>
  <si>
    <t>Ambur</t>
  </si>
  <si>
    <t>558.28</t>
  </si>
  <si>
    <t>05720</t>
  </si>
  <si>
    <t>Tirupathur</t>
  </si>
  <si>
    <t>1002.62</t>
  </si>
  <si>
    <t>05721</t>
  </si>
  <si>
    <t>Arani</t>
  </si>
  <si>
    <t>418.97116308968475</t>
  </si>
  <si>
    <t>05722</t>
  </si>
  <si>
    <t>Cheyyar</t>
  </si>
  <si>
    <t>849.26614125047195</t>
  </si>
  <si>
    <t>05723</t>
  </si>
  <si>
    <t>Vandavasi</t>
  </si>
  <si>
    <t>880.76893481103218</t>
  </si>
  <si>
    <t>05724</t>
  </si>
  <si>
    <t>Polur</t>
  </si>
  <si>
    <t>1364.9244949825616</t>
  </si>
  <si>
    <t>05725</t>
  </si>
  <si>
    <t>Chengam</t>
  </si>
  <si>
    <t>1025.8396989390565</t>
  </si>
  <si>
    <t>05726</t>
  </si>
  <si>
    <t>Thandrampet</t>
  </si>
  <si>
    <t>674.17177564531471</t>
  </si>
  <si>
    <t>05727</t>
  </si>
  <si>
    <t>Tiruvannamalai</t>
  </si>
  <si>
    <t>974.0579814779959</t>
  </si>
  <si>
    <t>05728</t>
  </si>
  <si>
    <t>Gingee</t>
  </si>
  <si>
    <t>1063.0432592186157</t>
  </si>
  <si>
    <t>05729</t>
  </si>
  <si>
    <t>Tindivanam</t>
  </si>
  <si>
    <t>995.47107946444532</t>
  </si>
  <si>
    <t>05730</t>
  </si>
  <si>
    <t>Vanur</t>
  </si>
  <si>
    <t>460.12677233105961</t>
  </si>
  <si>
    <t>05731</t>
  </si>
  <si>
    <t>Viluppuram</t>
  </si>
  <si>
    <t>903.20848973076784</t>
  </si>
  <si>
    <t>05732</t>
  </si>
  <si>
    <t>Tirukkoyilur</t>
  </si>
  <si>
    <t>736.56566613876043</t>
  </si>
  <si>
    <t>05733</t>
  </si>
  <si>
    <t>Sankarapuram</t>
  </si>
  <si>
    <t>1281.4193197075317</t>
  </si>
  <si>
    <t>05734</t>
  </si>
  <si>
    <t>Kallakkurichi</t>
  </si>
  <si>
    <t>972.81411463464326</t>
  </si>
  <si>
    <t>05735</t>
  </si>
  <si>
    <t>Ulundurpettai</t>
  </si>
  <si>
    <t>781.35129877417671</t>
  </si>
  <si>
    <t>05736</t>
  </si>
  <si>
    <t>Mettur</t>
  </si>
  <si>
    <t>774.76850314167837</t>
  </si>
  <si>
    <t>05737</t>
  </si>
  <si>
    <t>Omalur</t>
  </si>
  <si>
    <t>666.14438577633484</t>
  </si>
  <si>
    <t>05738</t>
  </si>
  <si>
    <t>Edappadi</t>
  </si>
  <si>
    <t>317.63828002988549</t>
  </si>
  <si>
    <t>05739</t>
  </si>
  <si>
    <t>Sankari</t>
  </si>
  <si>
    <t>424.22376844165444</t>
  </si>
  <si>
    <t>05740</t>
  </si>
  <si>
    <t>Salem</t>
  </si>
  <si>
    <t>539.47094377324527</t>
  </si>
  <si>
    <t>05741</t>
  </si>
  <si>
    <t>Yercaud</t>
  </si>
  <si>
    <t>385.14175972190714</t>
  </si>
  <si>
    <t>05742</t>
  </si>
  <si>
    <t>Vazhapadi</t>
  </si>
  <si>
    <t>439.02123128516189</t>
  </si>
  <si>
    <t>05743</t>
  </si>
  <si>
    <t>Attur</t>
  </si>
  <si>
    <t>1166.0162051928285</t>
  </si>
  <si>
    <t>05744</t>
  </si>
  <si>
    <t>Gangavalli</t>
  </si>
  <si>
    <t>524.57403561492936</t>
  </si>
  <si>
    <t>05745</t>
  </si>
  <si>
    <t>Tiruchengode</t>
  </si>
  <si>
    <t>825.89398590935616</t>
  </si>
  <si>
    <t>05746</t>
  </si>
  <si>
    <t>Rasipuram</t>
  </si>
  <si>
    <t>819.037994267557</t>
  </si>
  <si>
    <t>05747</t>
  </si>
  <si>
    <t>Namakkal</t>
  </si>
  <si>
    <t>1249.7153158241092</t>
  </si>
  <si>
    <t>05748</t>
  </si>
  <si>
    <t>Paramathi-Velur</t>
  </si>
  <si>
    <t>525.35152162319196</t>
  </si>
  <si>
    <t>05749</t>
  </si>
  <si>
    <t>Sathyamangalam</t>
  </si>
  <si>
    <t>2271.87548526311</t>
  </si>
  <si>
    <t>05750</t>
  </si>
  <si>
    <t>Bhavani</t>
  </si>
  <si>
    <t>1494.1326932443658</t>
  </si>
  <si>
    <t>05751</t>
  </si>
  <si>
    <t>Gobichettipalayam</t>
  </si>
  <si>
    <t>663.20547111146698</t>
  </si>
  <si>
    <t>05752</t>
  </si>
  <si>
    <t>Perundurai</t>
  </si>
  <si>
    <t>563.05736074329593</t>
  </si>
  <si>
    <t>05753</t>
  </si>
  <si>
    <t>Erode</t>
  </si>
  <si>
    <t>767.72599352190787</t>
  </si>
  <si>
    <t>05754</t>
  </si>
  <si>
    <t>Panthalur</t>
  </si>
  <si>
    <t>218.05324321863995</t>
  </si>
  <si>
    <t>05755</t>
  </si>
  <si>
    <t>Gudalur</t>
  </si>
  <si>
    <t>507.08508269642795</t>
  </si>
  <si>
    <t>05756</t>
  </si>
  <si>
    <t>Udhagamandalam</t>
  </si>
  <si>
    <t>879.26810424009182</t>
  </si>
  <si>
    <t>05757</t>
  </si>
  <si>
    <t>Kotagiri</t>
  </si>
  <si>
    <t>397.55168404535846</t>
  </si>
  <si>
    <t>05758</t>
  </si>
  <si>
    <t>Coonoor</t>
  </si>
  <si>
    <t>232.41192606820857</t>
  </si>
  <si>
    <t>05759</t>
  </si>
  <si>
    <t>Kundah</t>
  </si>
  <si>
    <t>330.6273041202063</t>
  </si>
  <si>
    <t>05760</t>
  </si>
  <si>
    <t>Palani</t>
  </si>
  <si>
    <t>728.52816880769797</t>
  </si>
  <si>
    <t>05761</t>
  </si>
  <si>
    <t>Oddanchatram</t>
  </si>
  <si>
    <t>777.88226444585553</t>
  </si>
  <si>
    <t>05762</t>
  </si>
  <si>
    <t>Vedasandur</t>
  </si>
  <si>
    <t>1056.1992673277</t>
  </si>
  <si>
    <t>05763</t>
  </si>
  <si>
    <t>Natham</t>
  </si>
  <si>
    <t>573.92071508816491</t>
  </si>
  <si>
    <t>05764</t>
  </si>
  <si>
    <t>Dindigul</t>
  </si>
  <si>
    <t>1139.1145411029161</t>
  </si>
  <si>
    <t>05765</t>
  </si>
  <si>
    <t>248.93254530357058</t>
  </si>
  <si>
    <t>05766</t>
  </si>
  <si>
    <t>Kodaikanal</t>
  </si>
  <si>
    <t>1029.7729106628242</t>
  </si>
  <si>
    <t>05767</t>
  </si>
  <si>
    <t>Nilakkottai</t>
  </si>
  <si>
    <t>481.64958726127099</t>
  </si>
  <si>
    <t>05768</t>
  </si>
  <si>
    <t>Aravakurichi</t>
  </si>
  <si>
    <t>980.12138049373391</t>
  </si>
  <si>
    <t>05769</t>
  </si>
  <si>
    <t>Karur</t>
  </si>
  <si>
    <t>608.46166259817983</t>
  </si>
  <si>
    <t>05770</t>
  </si>
  <si>
    <t>Krishnarayapuram</t>
  </si>
  <si>
    <t>392.91662496042164</t>
  </si>
  <si>
    <t>05771</t>
  </si>
  <si>
    <t>Kulithalai</t>
  </si>
  <si>
    <t>494.55430153104476</t>
  </si>
  <si>
    <t>05772</t>
  </si>
  <si>
    <t>Kadavur</t>
  </si>
  <si>
    <t>427.94603041661981</t>
  </si>
  <si>
    <t>05773</t>
  </si>
  <si>
    <t>Thottiyam</t>
  </si>
  <si>
    <t>277.17420066152152</t>
  </si>
  <si>
    <t>05774</t>
  </si>
  <si>
    <t>Musiri</t>
  </si>
  <si>
    <t>669.22491730981255</t>
  </si>
  <si>
    <t>05775</t>
  </si>
  <si>
    <t>Thuraiyur</t>
  </si>
  <si>
    <t>805.11797133406844</t>
  </si>
  <si>
    <t>05776</t>
  </si>
  <si>
    <t>Manachanallur</t>
  </si>
  <si>
    <t>374.67585446527011</t>
  </si>
  <si>
    <t>05777</t>
  </si>
  <si>
    <t>Lalgudi</t>
  </si>
  <si>
    <t>592.18412348401318</t>
  </si>
  <si>
    <t>05778</t>
  </si>
  <si>
    <t>Srirangam</t>
  </si>
  <si>
    <t>361.15104740904081</t>
  </si>
  <si>
    <t>05779</t>
  </si>
  <si>
    <t>Tiruchirappalli</t>
  </si>
  <si>
    <t>71.057331863285555</t>
  </si>
  <si>
    <t>05780</t>
  </si>
  <si>
    <t>Thiruverumbur</t>
  </si>
  <si>
    <t>267.75744211686879</t>
  </si>
  <si>
    <t>05781</t>
  </si>
  <si>
    <t>Manapparai</t>
  </si>
  <si>
    <t>1090.6571113561192</t>
  </si>
  <si>
    <t>615</t>
  </si>
  <si>
    <t>05782</t>
  </si>
  <si>
    <t>Veppanthattai</t>
  </si>
  <si>
    <t>574.85964664630183</t>
  </si>
  <si>
    <t>05783</t>
  </si>
  <si>
    <t>Perambalur</t>
  </si>
  <si>
    <t>328.00255218714534</t>
  </si>
  <si>
    <t>05784</t>
  </si>
  <si>
    <t>Kunnam</t>
  </si>
  <si>
    <t>853.13780116655289</t>
  </si>
  <si>
    <t>616</t>
  </si>
  <si>
    <t>05785</t>
  </si>
  <si>
    <t>Sendurai</t>
  </si>
  <si>
    <t>316.78863970338597</t>
  </si>
  <si>
    <t>05786</t>
  </si>
  <si>
    <t>Udayarpalayam</t>
  </si>
  <si>
    <t>938.9277885692577</t>
  </si>
  <si>
    <t>05787</t>
  </si>
  <si>
    <t>Ariyalur</t>
  </si>
  <si>
    <t>684.28566402310184</t>
  </si>
  <si>
    <t>05788</t>
  </si>
  <si>
    <t>Panruti</t>
  </si>
  <si>
    <t>498.25236452382364</t>
  </si>
  <si>
    <t>05789</t>
  </si>
  <si>
    <t>Cuddalore</t>
  </si>
  <si>
    <t>308.29203684462277</t>
  </si>
  <si>
    <t>05790</t>
  </si>
  <si>
    <t>Kurinjipadi</t>
  </si>
  <si>
    <t>386.23644648203441</t>
  </si>
  <si>
    <t>05791</t>
  </si>
  <si>
    <t>Chidambaram</t>
  </si>
  <si>
    <t>598.50065287771213</t>
  </si>
  <si>
    <t>05792</t>
  </si>
  <si>
    <t>Kattumannarkoil</t>
  </si>
  <si>
    <t>455.11431949070908</t>
  </si>
  <si>
    <t>05793</t>
  </si>
  <si>
    <t>Virudhachalam</t>
  </si>
  <si>
    <t>844.31998223998596</t>
  </si>
  <si>
    <t>05794</t>
  </si>
  <si>
    <t>Tittakudi</t>
  </si>
  <si>
    <t>612.28417187079754</t>
  </si>
  <si>
    <t>05795</t>
  </si>
  <si>
    <t>Sirkali</t>
  </si>
  <si>
    <t>459.30900564100284</t>
  </si>
  <si>
    <t>05796</t>
  </si>
  <si>
    <t>Mayiladuthurai</t>
  </si>
  <si>
    <t>257.55839273751991</t>
  </si>
  <si>
    <t>05797</t>
  </si>
  <si>
    <t>Kuthalam</t>
  </si>
  <si>
    <t>170.90452654828866</t>
  </si>
  <si>
    <t>05798</t>
  </si>
  <si>
    <t>Tharangambadi</t>
  </si>
  <si>
    <t>281.58056130333171</t>
  </si>
  <si>
    <t>05799</t>
  </si>
  <si>
    <t>Nagapattinam</t>
  </si>
  <si>
    <t>307.99604596339066</t>
  </si>
  <si>
    <t>05800</t>
  </si>
  <si>
    <t>Kilvelur</t>
  </si>
  <si>
    <t>279.39492966354391</t>
  </si>
  <si>
    <t>05801</t>
  </si>
  <si>
    <t>Thirukkuvalai</t>
  </si>
  <si>
    <t>144.79562370195558</t>
  </si>
  <si>
    <t>05802</t>
  </si>
  <si>
    <t>Vedaranyam</t>
  </si>
  <si>
    <t>667.45827768902268</t>
  </si>
  <si>
    <t>05803</t>
  </si>
  <si>
    <t>Valangaiman</t>
  </si>
  <si>
    <t>203.60964010870396</t>
  </si>
  <si>
    <t>05804</t>
  </si>
  <si>
    <t>Kodavasal</t>
  </si>
  <si>
    <t>323.66338596543699</t>
  </si>
  <si>
    <t>05805</t>
  </si>
  <si>
    <t>Nannilam</t>
  </si>
  <si>
    <t>238.38561324942899</t>
  </si>
  <si>
    <t>05806</t>
  </si>
  <si>
    <t>Thiruvarur</t>
  </si>
  <si>
    <t>148.76830868185942</t>
  </si>
  <si>
    <t>05807</t>
  </si>
  <si>
    <t>Needamangalam</t>
  </si>
  <si>
    <t>247.70167245369879</t>
  </si>
  <si>
    <t>05808</t>
  </si>
  <si>
    <t>Mannargudi</t>
  </si>
  <si>
    <t>548.63228147196469</t>
  </si>
  <si>
    <t>05809</t>
  </si>
  <si>
    <t>Thiruthuraipoondi</t>
  </si>
  <si>
    <t>563.2433657795159</t>
  </si>
  <si>
    <t>05810</t>
  </si>
  <si>
    <t>Thiruvidaimarudur</t>
  </si>
  <si>
    <t>270.4118870666307</t>
  </si>
  <si>
    <t>05811</t>
  </si>
  <si>
    <t>Kumbakonam</t>
  </si>
  <si>
    <t>277.12056006594531</t>
  </si>
  <si>
    <t>05812</t>
  </si>
  <si>
    <t>Papanasam</t>
  </si>
  <si>
    <t>400.53445466747564</t>
  </si>
  <si>
    <t>05813</t>
  </si>
  <si>
    <t>Thiruvaiyaru</t>
  </si>
  <si>
    <t>267.2897358622368</t>
  </si>
  <si>
    <t>05814</t>
  </si>
  <si>
    <t>Thanjavur</t>
  </si>
  <si>
    <t>616.49641993849082</t>
  </si>
  <si>
    <t>05815</t>
  </si>
  <si>
    <t>Orathanadu</t>
  </si>
  <si>
    <t>570.81025801090482</t>
  </si>
  <si>
    <t>05816</t>
  </si>
  <si>
    <t>Pattukkottai</t>
  </si>
  <si>
    <t>720.13998365397015</t>
  </si>
  <si>
    <t>05817</t>
  </si>
  <si>
    <t>Peravurani</t>
  </si>
  <si>
    <t>288.19629266127919</t>
  </si>
  <si>
    <t>05818</t>
  </si>
  <si>
    <t>Iluppur</t>
  </si>
  <si>
    <t>689.34757576396657</t>
  </si>
  <si>
    <t>05819</t>
  </si>
  <si>
    <t>Kulathur</t>
  </si>
  <si>
    <t>638.134981124913</t>
  </si>
  <si>
    <t>05820</t>
  </si>
  <si>
    <t>Gandarvakkottai</t>
  </si>
  <si>
    <t>331.86819073328132</t>
  </si>
  <si>
    <t>05821</t>
  </si>
  <si>
    <t>Pudukkottai</t>
  </si>
  <si>
    <t>324.2386992007086</t>
  </si>
  <si>
    <t>05822</t>
  </si>
  <si>
    <t>Thirumayam</t>
  </si>
  <si>
    <t>563.64215365797077</t>
  </si>
  <si>
    <t>05823</t>
  </si>
  <si>
    <t>Ponnamaravathi</t>
  </si>
  <si>
    <t>333.00428960077608</t>
  </si>
  <si>
    <t>05824</t>
  </si>
  <si>
    <t>Alangudi</t>
  </si>
  <si>
    <t>382.21891726595948</t>
  </si>
  <si>
    <t>05825</t>
  </si>
  <si>
    <t>Karambakudi</t>
  </si>
  <si>
    <t>268.80490963156672</t>
  </si>
  <si>
    <t>05826</t>
  </si>
  <si>
    <t>Aranthangi</t>
  </si>
  <si>
    <t>443.35278908408378</t>
  </si>
  <si>
    <t>05827</t>
  </si>
  <si>
    <t>Manamelkudi</t>
  </si>
  <si>
    <t>252.09642111479005</t>
  </si>
  <si>
    <t>05828</t>
  </si>
  <si>
    <t>Avudayarkoil</t>
  </si>
  <si>
    <t>417.29107282198368</t>
  </si>
  <si>
    <t>05829</t>
  </si>
  <si>
    <t>870.24669377442649</t>
  </si>
  <si>
    <t>05830</t>
  </si>
  <si>
    <t>Karaikkudi</t>
  </si>
  <si>
    <t>599.91591330780454</t>
  </si>
  <si>
    <t>05831</t>
  </si>
  <si>
    <t>Devakottai</t>
  </si>
  <si>
    <t>609.00852710118022</t>
  </si>
  <si>
    <t>05832</t>
  </si>
  <si>
    <t>Sivaganga</t>
  </si>
  <si>
    <t>1110.1737396865501</t>
  </si>
  <si>
    <t>05833</t>
  </si>
  <si>
    <t>Manamadurai</t>
  </si>
  <si>
    <t>634.91018909636409</t>
  </si>
  <si>
    <t>05834</t>
  </si>
  <si>
    <t>Ilayangudi</t>
  </si>
  <si>
    <t>408.74493703367409</t>
  </si>
  <si>
    <t>05835</t>
  </si>
  <si>
    <t>Melur</t>
  </si>
  <si>
    <t>681.37797270060514</t>
  </si>
  <si>
    <t>05836</t>
  </si>
  <si>
    <t>Madurai North</t>
  </si>
  <si>
    <t>391.06203064613857</t>
  </si>
  <si>
    <t>05837</t>
  </si>
  <si>
    <t>Vadipatti</t>
  </si>
  <si>
    <t>461.03576764304256</t>
  </si>
  <si>
    <t>05838</t>
  </si>
  <si>
    <t>Usilampatti</t>
  </si>
  <si>
    <t>487.31394288882984</t>
  </si>
  <si>
    <t>05839</t>
  </si>
  <si>
    <t>Peraiyur</t>
  </si>
  <si>
    <t>821.76701423961867</t>
  </si>
  <si>
    <t>05840</t>
  </si>
  <si>
    <t>Thirumangalam</t>
  </si>
  <si>
    <t>561.28141301681501</t>
  </si>
  <si>
    <t>05841</t>
  </si>
  <si>
    <t>Madurai South</t>
  </si>
  <si>
    <t>306.16331062128751</t>
  </si>
  <si>
    <t>624</t>
  </si>
  <si>
    <t>05842</t>
  </si>
  <si>
    <t>Bodinayakanur</t>
  </si>
  <si>
    <t>507.94741889095809</t>
  </si>
  <si>
    <t>05843</t>
  </si>
  <si>
    <t>Periyakulam</t>
  </si>
  <si>
    <t>373.53260982618815</t>
  </si>
  <si>
    <t>05844</t>
  </si>
  <si>
    <t>Theni</t>
  </si>
  <si>
    <t>204.52763082244863</t>
  </si>
  <si>
    <t>05845</t>
  </si>
  <si>
    <t>Uthamapalayam</t>
  </si>
  <si>
    <t>831.36158158082992</t>
  </si>
  <si>
    <t>05846</t>
  </si>
  <si>
    <t>Andipatti</t>
  </si>
  <si>
    <t>950.63092179888304</t>
  </si>
  <si>
    <t>05847</t>
  </si>
  <si>
    <t>Rajapalayam</t>
  </si>
  <si>
    <t>465.82540312790411</t>
  </si>
  <si>
    <t>05848</t>
  </si>
  <si>
    <t>Srivilliputhur</t>
  </si>
  <si>
    <t>683.50885913810032</t>
  </si>
  <si>
    <t>05849</t>
  </si>
  <si>
    <t>Sivakasi</t>
  </si>
  <si>
    <t>579.24860397758948</t>
  </si>
  <si>
    <t>05850</t>
  </si>
  <si>
    <t>Virudhunagar</t>
  </si>
  <si>
    <t>437.25225159183236</t>
  </si>
  <si>
    <t>05851</t>
  </si>
  <si>
    <t>Kariapatti</t>
  </si>
  <si>
    <t>397.58197180106737</t>
  </si>
  <si>
    <t>05852</t>
  </si>
  <si>
    <t>Tiruchuli</t>
  </si>
  <si>
    <t>551.19318817875251</t>
  </si>
  <si>
    <t>05853</t>
  </si>
  <si>
    <t>Aruppukkottai</t>
  </si>
  <si>
    <t>633.93322014816385</t>
  </si>
  <si>
    <t>05854</t>
  </si>
  <si>
    <t>Sattur</t>
  </si>
  <si>
    <t>492.45460349964145</t>
  </si>
  <si>
    <t>05855</t>
  </si>
  <si>
    <t>Tiruvadanai</t>
  </si>
  <si>
    <t>827.80012146690569</t>
  </si>
  <si>
    <t>05856</t>
  </si>
  <si>
    <t>Paramakudi</t>
  </si>
  <si>
    <t>747.92988368601016</t>
  </si>
  <si>
    <t>05857</t>
  </si>
  <si>
    <t>Mudukulathur</t>
  </si>
  <si>
    <t>489.62530690857074</t>
  </si>
  <si>
    <t>05858</t>
  </si>
  <si>
    <t>Kamuthi</t>
  </si>
  <si>
    <t>568.10251578317661</t>
  </si>
  <si>
    <t>05859</t>
  </si>
  <si>
    <t>Kadaladi</t>
  </si>
  <si>
    <t>613.67306979452314</t>
  </si>
  <si>
    <t>05860</t>
  </si>
  <si>
    <t>Ramanathapuram</t>
  </si>
  <si>
    <t>764.51959157000397</t>
  </si>
  <si>
    <t>05861</t>
  </si>
  <si>
    <t>Rameswaram</t>
  </si>
  <si>
    <t>92.349049172202669</t>
  </si>
  <si>
    <t>627</t>
  </si>
  <si>
    <t>05862</t>
  </si>
  <si>
    <t>Kovilpatti</t>
  </si>
  <si>
    <t>823.37284168898987</t>
  </si>
  <si>
    <t>05863</t>
  </si>
  <si>
    <t>Ettayapuram</t>
  </si>
  <si>
    <t>495.46997747849377</t>
  </si>
  <si>
    <t>05864</t>
  </si>
  <si>
    <t>Vilathikulam</t>
  </si>
  <si>
    <t>865.25245418781049</t>
  </si>
  <si>
    <t>05865</t>
  </si>
  <si>
    <t>Ottapidaram</t>
  </si>
  <si>
    <t>749.46306308893327</t>
  </si>
  <si>
    <t>05866</t>
  </si>
  <si>
    <t>Thoothukkudi</t>
  </si>
  <si>
    <t>361.89902652943175</t>
  </si>
  <si>
    <t>05867</t>
  </si>
  <si>
    <t>Srivaikuntam</t>
  </si>
  <si>
    <t>601.28339767072646</t>
  </si>
  <si>
    <t>05868</t>
  </si>
  <si>
    <t>Tiruchendur</t>
  </si>
  <si>
    <t>480.28703639130811</t>
  </si>
  <si>
    <t>05869</t>
  </si>
  <si>
    <t>Sathankulam</t>
  </si>
  <si>
    <t>367.97220296430606</t>
  </si>
  <si>
    <t>05870</t>
  </si>
  <si>
    <t>Sivagiri</t>
  </si>
  <si>
    <t>533.69196376010041</t>
  </si>
  <si>
    <t>05871</t>
  </si>
  <si>
    <t>Sankarankoil</t>
  </si>
  <si>
    <t>966.45935075751731</t>
  </si>
  <si>
    <t>05872</t>
  </si>
  <si>
    <t>Veerakeralamputhur</t>
  </si>
  <si>
    <t>278.55922560689328</t>
  </si>
  <si>
    <t>05873</t>
  </si>
  <si>
    <t>Tenkasi</t>
  </si>
  <si>
    <t>511.58856695994456</t>
  </si>
  <si>
    <t>05874</t>
  </si>
  <si>
    <t>Shenkottai</t>
  </si>
  <si>
    <t>203.71704621270374</t>
  </si>
  <si>
    <t>05875</t>
  </si>
  <si>
    <t>Alangulam</t>
  </si>
  <si>
    <t>307.18078959723596</t>
  </si>
  <si>
    <t>05876</t>
  </si>
  <si>
    <t>Tirunelveli</t>
  </si>
  <si>
    <t>569.47378305190193</t>
  </si>
  <si>
    <t>05877</t>
  </si>
  <si>
    <t>Palayamkottai</t>
  </si>
  <si>
    <t>299.63138998591512</t>
  </si>
  <si>
    <t>05878</t>
  </si>
  <si>
    <t>Ambasamudram</t>
  </si>
  <si>
    <t>1181.2767384090319</t>
  </si>
  <si>
    <t>05879</t>
  </si>
  <si>
    <t>Nanguneri</t>
  </si>
  <si>
    <t>965.09734567300075</t>
  </si>
  <si>
    <t>05880</t>
  </si>
  <si>
    <t>Radhapuram</t>
  </si>
  <si>
    <t>876.32379998575516</t>
  </si>
  <si>
    <t>05881</t>
  </si>
  <si>
    <t>Vilavancode</t>
  </si>
  <si>
    <t>395.03921100891483</t>
  </si>
  <si>
    <t>05882</t>
  </si>
  <si>
    <t>Kalkulam</t>
  </si>
  <si>
    <t>632.98431507182227</t>
  </si>
  <si>
    <t>05883</t>
  </si>
  <si>
    <t>Thovala</t>
  </si>
  <si>
    <t>377.7402728087352</t>
  </si>
  <si>
    <t>05884</t>
  </si>
  <si>
    <t>Agastheeswaram</t>
  </si>
  <si>
    <t>278.2350765246577</t>
  </si>
  <si>
    <t>05885</t>
  </si>
  <si>
    <t>Palakkodu</t>
  </si>
  <si>
    <t>750.13873871474607</t>
  </si>
  <si>
    <t>05886</t>
  </si>
  <si>
    <t>Harur</t>
  </si>
  <si>
    <t>962.7888292630962</t>
  </si>
  <si>
    <t>05887</t>
  </si>
  <si>
    <t>Pappireddipatti</t>
  </si>
  <si>
    <t>861.95793496497902</t>
  </si>
  <si>
    <t>05888</t>
  </si>
  <si>
    <t>791.74657780500138</t>
  </si>
  <si>
    <t>05889</t>
  </si>
  <si>
    <t>Pennagaram</t>
  </si>
  <si>
    <t>1130.367919252177</t>
  </si>
  <si>
    <t>631</t>
  </si>
  <si>
    <t>05890</t>
  </si>
  <si>
    <t>Hosur</t>
  </si>
  <si>
    <t>957.76479686372409</t>
  </si>
  <si>
    <t>05891</t>
  </si>
  <si>
    <t>1276.192756138948</t>
  </si>
  <si>
    <t>05892</t>
  </si>
  <si>
    <t>Denkanikottai</t>
  </si>
  <si>
    <t>1995.4592030582589</t>
  </si>
  <si>
    <t>05893</t>
  </si>
  <si>
    <t>Pochampalli</t>
  </si>
  <si>
    <t>369.63692925825512</t>
  </si>
  <si>
    <t>05894</t>
  </si>
  <si>
    <t>Uthangarai</t>
  </si>
  <si>
    <t>529.94631468081366</t>
  </si>
  <si>
    <t>05895</t>
  </si>
  <si>
    <t>Mettupalayam</t>
  </si>
  <si>
    <t>635.19926440458596</t>
  </si>
  <si>
    <t>05896</t>
  </si>
  <si>
    <t>Sulur</t>
  </si>
  <si>
    <t>568.26700764714201</t>
  </si>
  <si>
    <t>05897</t>
  </si>
  <si>
    <t>Coimbatore North</t>
  </si>
  <si>
    <t>873.43508338384913</t>
  </si>
  <si>
    <t>05898</t>
  </si>
  <si>
    <t>Coimbatore South</t>
  </si>
  <si>
    <t>773.87310252730595</t>
  </si>
  <si>
    <t>05899</t>
  </si>
  <si>
    <t>Pollachi</t>
  </si>
  <si>
    <t>1176.2433041887627</t>
  </si>
  <si>
    <t>05900</t>
  </si>
  <si>
    <t>Valparai</t>
  </si>
  <si>
    <t>704.97927859027004</t>
  </si>
  <si>
    <t>05901</t>
  </si>
  <si>
    <t>Kangeyam</t>
  </si>
  <si>
    <t>842.40248351619186</t>
  </si>
  <si>
    <t>05902</t>
  </si>
  <si>
    <t>Dharapuram</t>
  </si>
  <si>
    <t>1354.4088382397813</t>
  </si>
  <si>
    <t>05903</t>
  </si>
  <si>
    <t>Avanashi</t>
  </si>
  <si>
    <t>683.84497923769845</t>
  </si>
  <si>
    <t>05904</t>
  </si>
  <si>
    <t>Tiruppur</t>
  </si>
  <si>
    <t>372.17611472995736</t>
  </si>
  <si>
    <t>05905</t>
  </si>
  <si>
    <t>Palladam</t>
  </si>
  <si>
    <t>502.82458840229776</t>
  </si>
  <si>
    <t>05906</t>
  </si>
  <si>
    <t>Udumalaipettai</t>
  </si>
  <si>
    <t>900.85514148878303</t>
  </si>
  <si>
    <t>05907</t>
  </si>
  <si>
    <t>Madathukulam</t>
  </si>
  <si>
    <t>530.48785438528989</t>
  </si>
  <si>
    <t>05908</t>
  </si>
  <si>
    <t>Yanam Taluk</t>
  </si>
  <si>
    <t>05909</t>
  </si>
  <si>
    <t>Puducherry Taluk</t>
  </si>
  <si>
    <t>43.9</t>
  </si>
  <si>
    <t>05910</t>
  </si>
  <si>
    <t>Ozhukarai Taluk</t>
  </si>
  <si>
    <t>34.56</t>
  </si>
  <si>
    <t>05911</t>
  </si>
  <si>
    <t>Villianur Taluk</t>
  </si>
  <si>
    <t>130.4</t>
  </si>
  <si>
    <t>05912</t>
  </si>
  <si>
    <t>Bahour Taluk</t>
  </si>
  <si>
    <t>85.14</t>
  </si>
  <si>
    <t>05913</t>
  </si>
  <si>
    <t>Mahe Taluk</t>
  </si>
  <si>
    <t>05914</t>
  </si>
  <si>
    <t>Karaikal Taluk</t>
  </si>
  <si>
    <t>86.85</t>
  </si>
  <si>
    <t>05915</t>
  </si>
  <si>
    <t>Thirunallar Taluk</t>
  </si>
  <si>
    <t>70.150000000000006</t>
  </si>
  <si>
    <t>05916</t>
  </si>
  <si>
    <t>Car Nicobar</t>
  </si>
  <si>
    <t>139.69800394616175</t>
  </si>
  <si>
    <t>05917</t>
  </si>
  <si>
    <t>Nancowry</t>
  </si>
  <si>
    <t>495.42655514465548</t>
  </si>
  <si>
    <t>05918</t>
  </si>
  <si>
    <t>Great Nicobar</t>
  </si>
  <si>
    <t>1205.8756899821667</t>
  </si>
  <si>
    <t>05919</t>
  </si>
  <si>
    <t>Diglipur</t>
  </si>
  <si>
    <t>1523.3796600786113</t>
  </si>
  <si>
    <t>05920</t>
  </si>
  <si>
    <t>Mayabunder</t>
  </si>
  <si>
    <t>857.42177173236246</t>
  </si>
  <si>
    <t>05921</t>
  </si>
  <si>
    <t>Rangat</t>
  </si>
  <si>
    <t>1355.3478589089605</t>
  </si>
  <si>
    <t>05922</t>
  </si>
  <si>
    <t>Ferrargunj</t>
  </si>
  <si>
    <t>1343.6977605951115</t>
  </si>
  <si>
    <t>05923</t>
  </si>
  <si>
    <t>Port Blair</t>
  </si>
  <si>
    <t>548.41151283235445</t>
  </si>
  <si>
    <t>05924</t>
  </si>
  <si>
    <t>Little Andaman</t>
  </si>
  <si>
    <t>780.15272902218919</t>
  </si>
  <si>
    <t>District_Code</t>
  </si>
  <si>
    <t>SubDistrict_Code</t>
  </si>
  <si>
    <t>Name</t>
  </si>
  <si>
    <t>Inhabited Villages</t>
  </si>
  <si>
    <t>Uninhabited Villages</t>
  </si>
  <si>
    <t>Number of towns</t>
  </si>
  <si>
    <t>HH_T</t>
  </si>
  <si>
    <t>Population</t>
  </si>
  <si>
    <t>Area</t>
  </si>
  <si>
    <t>PD</t>
  </si>
  <si>
    <t>05930</t>
  </si>
  <si>
    <t>State_Code</t>
  </si>
  <si>
    <t>05925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</si>
</sst>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0" borderId="1" xfId="0" applyNumberFormat="1" applyFont="1" applyBorder="1" applyAlignment="1">
      <alignment vertical="top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/>
    </xf>
    <xf numFmtId="2" fontId="1" fillId="0" borderId="1" xfId="0" applyNumberFormat="1" applyFont="1" applyBorder="1" applyAlignment="1">
      <alignment vertical="top" wrapText="1"/>
    </xf>
    <xf numFmtId="1" fontId="1" fillId="0" borderId="1" xfId="0" applyNumberFormat="1" applyFont="1" applyBorder="1" applyAlignment="1">
      <alignment vertical="top"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988"/>
  <sheetViews>
    <sheetView tabSelected="1" topLeftCell="A5953" workbookViewId="0">
      <selection activeCell="M5969" sqref="M5969"/>
    </sheetView>
  </sheetViews>
  <sheetFormatPr defaultRowHeight="12.75" x14ac:dyDescent="0.2"/>
  <cols>
    <col min="1" max="12" width="15"/>
    <col min="13" max="13" width="6.42578125" bestFit="1" customWidth="1"/>
    <col min="14" max="1023" width="15"/>
  </cols>
  <sheetData>
    <row r="1" spans="1:11" ht="24" x14ac:dyDescent="0.2">
      <c r="A1" s="1" t="s">
        <v>18246</v>
      </c>
      <c r="B1" s="1" t="s">
        <v>18235</v>
      </c>
      <c r="C1" s="1" t="s">
        <v>18236</v>
      </c>
      <c r="D1" s="1" t="s">
        <v>18237</v>
      </c>
      <c r="E1" s="2" t="s">
        <v>18238</v>
      </c>
      <c r="F1" s="2" t="s">
        <v>18239</v>
      </c>
      <c r="G1" s="3" t="s">
        <v>18240</v>
      </c>
      <c r="H1" s="3" t="s">
        <v>18241</v>
      </c>
      <c r="I1" s="4" t="s">
        <v>18242</v>
      </c>
      <c r="J1" s="5" t="s">
        <v>18243</v>
      </c>
      <c r="K1" s="6" t="s">
        <v>18244</v>
      </c>
    </row>
    <row r="2" spans="1:11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>
        <f>63022*(1.01^10)</f>
        <v>69615.495587664947</v>
      </c>
      <c r="I2">
        <f>540914*(1.01^10)</f>
        <v>597505.57234467636</v>
      </c>
      <c r="J2" t="s">
        <v>7</v>
      </c>
      <c r="K2">
        <f>I2/J2</f>
        <v>1978.8884293060753</v>
      </c>
    </row>
    <row r="3" spans="1:11" x14ac:dyDescent="0.2">
      <c r="A3" t="s">
        <v>0</v>
      </c>
      <c r="B3" t="s">
        <v>1</v>
      </c>
      <c r="C3" t="s">
        <v>8</v>
      </c>
      <c r="D3" t="s">
        <v>9</v>
      </c>
      <c r="E3" t="s">
        <v>10</v>
      </c>
      <c r="F3" t="s">
        <v>11</v>
      </c>
      <c r="G3" t="s">
        <v>12</v>
      </c>
      <c r="H3">
        <f>39485*(1.01^10)</f>
        <v>43616.004621861422</v>
      </c>
      <c r="I3">
        <f>269311*(1.01^10)</f>
        <v>297486.88921661698</v>
      </c>
      <c r="J3" t="s">
        <v>13</v>
      </c>
      <c r="K3">
        <f t="shared" ref="K3:K66" si="0">I3/J3</f>
        <v>1020.6432539081791</v>
      </c>
    </row>
    <row r="4" spans="1:11" x14ac:dyDescent="0.2">
      <c r="A4" t="s">
        <v>0</v>
      </c>
      <c r="B4" t="s">
        <v>1</v>
      </c>
      <c r="C4" t="s">
        <v>14</v>
      </c>
      <c r="D4" t="s">
        <v>15</v>
      </c>
      <c r="E4" t="s">
        <v>16</v>
      </c>
      <c r="F4" t="s">
        <v>17</v>
      </c>
      <c r="G4" t="s">
        <v>17</v>
      </c>
      <c r="H4">
        <f>11422*(1.01^10)</f>
        <v>12616.993916446781</v>
      </c>
      <c r="I4">
        <f>60129*(1.01^10)</f>
        <v>66419.823778850332</v>
      </c>
      <c r="J4" t="s">
        <v>18</v>
      </c>
      <c r="K4">
        <f t="shared" si="0"/>
        <v>950.34802945843944</v>
      </c>
    </row>
    <row r="5" spans="1:11" x14ac:dyDescent="0.2">
      <c r="A5" t="s">
        <v>0</v>
      </c>
      <c r="B5" t="s">
        <v>20</v>
      </c>
      <c r="C5" t="s">
        <v>21</v>
      </c>
      <c r="D5" t="s">
        <v>22</v>
      </c>
      <c r="E5" t="s">
        <v>23</v>
      </c>
      <c r="F5" t="s">
        <v>24</v>
      </c>
      <c r="G5" t="s">
        <v>24</v>
      </c>
      <c r="H5">
        <f>8799*(1.01^10)</f>
        <v>9719.5700814931897</v>
      </c>
      <c r="I5">
        <f>67596*(1.01^10)</f>
        <v>74668.037189295792</v>
      </c>
      <c r="J5" t="s">
        <v>25</v>
      </c>
      <c r="K5">
        <f t="shared" si="0"/>
        <v>1221.6629121285307</v>
      </c>
    </row>
    <row r="6" spans="1:11" x14ac:dyDescent="0.2">
      <c r="A6" t="s">
        <v>0</v>
      </c>
      <c r="B6" t="s">
        <v>20</v>
      </c>
      <c r="C6" t="s">
        <v>26</v>
      </c>
      <c r="D6" t="s">
        <v>27</v>
      </c>
      <c r="E6" t="s">
        <v>28</v>
      </c>
      <c r="F6" t="s">
        <v>17</v>
      </c>
      <c r="G6" t="s">
        <v>17</v>
      </c>
      <c r="H6">
        <f>20914*(1.01^10)</f>
        <v>23102.067130849937</v>
      </c>
      <c r="I6">
        <f>163333*(1.01^10)</f>
        <v>180421.24560978831</v>
      </c>
      <c r="J6" t="s">
        <v>29</v>
      </c>
      <c r="K6">
        <f t="shared" si="0"/>
        <v>1345.7242157812211</v>
      </c>
    </row>
    <row r="7" spans="1:11" x14ac:dyDescent="0.2">
      <c r="A7" t="s">
        <v>0</v>
      </c>
      <c r="B7" t="s">
        <v>20</v>
      </c>
      <c r="C7" t="s">
        <v>30</v>
      </c>
      <c r="D7" t="s">
        <v>31</v>
      </c>
      <c r="E7" t="s">
        <v>32</v>
      </c>
      <c r="F7" t="s">
        <v>11</v>
      </c>
      <c r="G7" t="s">
        <v>12</v>
      </c>
      <c r="H7">
        <f>16432*(1.01^10)</f>
        <v>18151.150764756916</v>
      </c>
      <c r="I7">
        <f>123312*(1.01^10)</f>
        <v>136213.16352870647</v>
      </c>
      <c r="J7" t="s">
        <v>33</v>
      </c>
      <c r="K7">
        <f t="shared" si="0"/>
        <v>1081.8295888230202</v>
      </c>
    </row>
    <row r="8" spans="1:11" x14ac:dyDescent="0.2">
      <c r="A8" t="s">
        <v>0</v>
      </c>
      <c r="B8" t="s">
        <v>20</v>
      </c>
      <c r="C8" t="s">
        <v>34</v>
      </c>
      <c r="D8" t="s">
        <v>35</v>
      </c>
      <c r="E8" t="s">
        <v>36</v>
      </c>
      <c r="F8" t="s">
        <v>17</v>
      </c>
      <c r="G8" t="s">
        <v>17</v>
      </c>
      <c r="H8">
        <f>19774*(1.01^10)</f>
        <v>21842.797907881162</v>
      </c>
      <c r="I8">
        <f>133855*(1.01^10)</f>
        <v>147859.19459691682</v>
      </c>
      <c r="J8" t="s">
        <v>37</v>
      </c>
      <c r="K8">
        <f t="shared" si="0"/>
        <v>1011.6255787966394</v>
      </c>
    </row>
    <row r="9" spans="1:11" x14ac:dyDescent="0.2">
      <c r="A9" t="s">
        <v>0</v>
      </c>
      <c r="B9" t="s">
        <v>20</v>
      </c>
      <c r="C9" t="s">
        <v>38</v>
      </c>
      <c r="D9" t="s">
        <v>39</v>
      </c>
      <c r="E9" t="s">
        <v>40</v>
      </c>
      <c r="F9" t="s">
        <v>5</v>
      </c>
      <c r="G9" t="s">
        <v>11</v>
      </c>
      <c r="H9">
        <f>30390*(1.01^10)</f>
        <v>33569.466391246511</v>
      </c>
      <c r="I9">
        <f>212233*(1.01^10)</f>
        <v>234437.26754239621</v>
      </c>
      <c r="J9" t="s">
        <v>41</v>
      </c>
      <c r="K9">
        <f t="shared" si="0"/>
        <v>1204.2804106559624</v>
      </c>
    </row>
    <row r="10" spans="1:11" x14ac:dyDescent="0.2">
      <c r="A10" t="s">
        <v>0</v>
      </c>
      <c r="B10" t="s">
        <v>20</v>
      </c>
      <c r="C10" t="s">
        <v>42</v>
      </c>
      <c r="D10" t="s">
        <v>43</v>
      </c>
      <c r="E10" t="s">
        <v>44</v>
      </c>
      <c r="F10" t="s">
        <v>12</v>
      </c>
      <c r="G10" t="s">
        <v>12</v>
      </c>
      <c r="H10">
        <f>7054*(1.01^10)</f>
        <v>7792.0044726506385</v>
      </c>
      <c r="I10">
        <f>53416*(1.01^10)</f>
        <v>59004.495450964911</v>
      </c>
      <c r="J10" t="s">
        <v>45</v>
      </c>
      <c r="K10">
        <f t="shared" si="0"/>
        <v>1002.6252413078149</v>
      </c>
    </row>
    <row r="11" spans="1:11" x14ac:dyDescent="0.2">
      <c r="A11" t="s">
        <v>47</v>
      </c>
      <c r="B11" t="s">
        <v>48</v>
      </c>
      <c r="C11" t="s">
        <v>49</v>
      </c>
      <c r="D11" t="s">
        <v>50</v>
      </c>
      <c r="E11" t="s">
        <v>51</v>
      </c>
      <c r="F11" t="s">
        <v>12</v>
      </c>
      <c r="G11" t="s">
        <v>11</v>
      </c>
      <c r="H11">
        <f>15497*(1.01^10)</f>
        <v>17118.329077497441</v>
      </c>
      <c r="I11">
        <f>93961*(1.01^10)</f>
        <v>103791.39952576222</v>
      </c>
      <c r="J11" t="s">
        <v>52</v>
      </c>
      <c r="K11">
        <f t="shared" si="0"/>
        <v>606.75435242465926</v>
      </c>
    </row>
    <row r="12" spans="1:11" x14ac:dyDescent="0.2">
      <c r="A12" t="s">
        <v>47</v>
      </c>
      <c r="B12" t="s">
        <v>48</v>
      </c>
      <c r="C12" t="s">
        <v>54</v>
      </c>
      <c r="D12" t="s">
        <v>55</v>
      </c>
      <c r="E12" t="s">
        <v>56</v>
      </c>
      <c r="F12" t="s">
        <v>24</v>
      </c>
      <c r="G12" t="s">
        <v>24</v>
      </c>
      <c r="H12">
        <f>3606*(1.01^10)</f>
        <v>3983.2673842328045</v>
      </c>
      <c r="I12">
        <f>22433*(1.01^10)</f>
        <v>24779.988139349556</v>
      </c>
      <c r="J12" t="s">
        <v>57</v>
      </c>
      <c r="K12">
        <f t="shared" si="0"/>
        <v>148.54326902859103</v>
      </c>
    </row>
    <row r="13" spans="1:11" x14ac:dyDescent="0.2">
      <c r="A13" t="s">
        <v>47</v>
      </c>
      <c r="B13" t="s">
        <v>48</v>
      </c>
      <c r="C13" t="s">
        <v>59</v>
      </c>
      <c r="D13" t="s">
        <v>60</v>
      </c>
      <c r="E13" t="s">
        <v>61</v>
      </c>
      <c r="F13" t="s">
        <v>24</v>
      </c>
      <c r="G13" t="s">
        <v>24</v>
      </c>
      <c r="H13">
        <f>2806*(1.01^10)</f>
        <v>3099.5696839038405</v>
      </c>
      <c r="I13">
        <f>17093*(1.01^10)</f>
        <v>18881.305989653723</v>
      </c>
      <c r="J13" t="s">
        <v>62</v>
      </c>
      <c r="K13">
        <f t="shared" si="0"/>
        <v>337.10598089008613</v>
      </c>
    </row>
    <row r="14" spans="1:11" x14ac:dyDescent="0.2">
      <c r="A14" t="s">
        <v>47</v>
      </c>
      <c r="B14" t="s">
        <v>64</v>
      </c>
      <c r="C14" t="s">
        <v>65</v>
      </c>
      <c r="D14" t="s">
        <v>66</v>
      </c>
      <c r="E14" t="s">
        <v>67</v>
      </c>
      <c r="F14" t="s">
        <v>17</v>
      </c>
      <c r="G14" t="s">
        <v>12</v>
      </c>
      <c r="H14">
        <f>10867*(1.01^10)</f>
        <v>12003.928636843562</v>
      </c>
      <c r="I14">
        <f>86461*(1.01^10)</f>
        <v>95506.733585178168</v>
      </c>
      <c r="J14" t="s">
        <v>68</v>
      </c>
      <c r="K14">
        <f t="shared" si="0"/>
        <v>1134.8233553371931</v>
      </c>
    </row>
    <row r="15" spans="1:11" x14ac:dyDescent="0.2">
      <c r="A15" t="s">
        <v>47</v>
      </c>
      <c r="B15" t="s">
        <v>64</v>
      </c>
      <c r="C15" t="s">
        <v>70</v>
      </c>
      <c r="D15" t="s">
        <v>71</v>
      </c>
      <c r="E15" t="s">
        <v>72</v>
      </c>
      <c r="F15" t="s">
        <v>24</v>
      </c>
      <c r="G15" t="s">
        <v>24</v>
      </c>
      <c r="H15">
        <f>5144*(1.01^10)</f>
        <v>5682.1762131152373</v>
      </c>
      <c r="I15">
        <f>40548*(1.01^10)</f>
        <v>44790.217941173527</v>
      </c>
      <c r="J15" t="s">
        <v>73</v>
      </c>
      <c r="K15">
        <f t="shared" si="0"/>
        <v>740.4565703616056</v>
      </c>
    </row>
    <row r="16" spans="1:11" x14ac:dyDescent="0.2">
      <c r="A16" t="s">
        <v>47</v>
      </c>
      <c r="B16" t="s">
        <v>64</v>
      </c>
      <c r="C16" t="s">
        <v>75</v>
      </c>
      <c r="D16" t="s">
        <v>76</v>
      </c>
      <c r="E16" t="s">
        <v>77</v>
      </c>
      <c r="F16" t="s">
        <v>24</v>
      </c>
      <c r="G16" t="s">
        <v>24</v>
      </c>
      <c r="H16">
        <f>2327*(1.01^10)</f>
        <v>2570.4556858318733</v>
      </c>
      <c r="I16">
        <f>13793*(1.01^10)</f>
        <v>15236.052975796747</v>
      </c>
      <c r="J16" t="s">
        <v>78</v>
      </c>
      <c r="K16">
        <f t="shared" si="0"/>
        <v>353.42270878674896</v>
      </c>
    </row>
    <row r="17" spans="1:11" x14ac:dyDescent="0.2">
      <c r="A17" t="s">
        <v>0</v>
      </c>
      <c r="B17" t="s">
        <v>80</v>
      </c>
      <c r="C17" t="s">
        <v>81</v>
      </c>
      <c r="D17" t="s">
        <v>82</v>
      </c>
      <c r="E17" t="s">
        <v>23</v>
      </c>
      <c r="F17" t="s">
        <v>17</v>
      </c>
      <c r="G17" t="s">
        <v>12</v>
      </c>
      <c r="H17">
        <f>25558*(1.01^10)</f>
        <v>28231.932281259571</v>
      </c>
      <c r="I17">
        <f>132767*(1.01^10)</f>
        <v>146657.36572446942</v>
      </c>
      <c r="J17" t="s">
        <v>83</v>
      </c>
      <c r="K17">
        <f t="shared" si="0"/>
        <v>526.74867367455431</v>
      </c>
    </row>
    <row r="18" spans="1:11" x14ac:dyDescent="0.2">
      <c r="A18" t="s">
        <v>0</v>
      </c>
      <c r="B18" t="s">
        <v>80</v>
      </c>
      <c r="C18" t="s">
        <v>85</v>
      </c>
      <c r="D18" t="s">
        <v>86</v>
      </c>
      <c r="E18" t="s">
        <v>47</v>
      </c>
      <c r="F18" t="s">
        <v>24</v>
      </c>
      <c r="G18" t="s">
        <v>24</v>
      </c>
      <c r="H18">
        <f>16313*(1.01^10)</f>
        <v>18019.700731832982</v>
      </c>
      <c r="I18">
        <f>77947*(1.01^10)</f>
        <v>86101.980809427172</v>
      </c>
      <c r="J18" t="s">
        <v>87</v>
      </c>
      <c r="K18">
        <f t="shared" si="0"/>
        <v>438.66915024163018</v>
      </c>
    </row>
    <row r="19" spans="1:11" x14ac:dyDescent="0.2">
      <c r="A19" t="s">
        <v>0</v>
      </c>
      <c r="B19" t="s">
        <v>80</v>
      </c>
      <c r="C19" t="s">
        <v>89</v>
      </c>
      <c r="D19" t="s">
        <v>90</v>
      </c>
      <c r="E19" t="s">
        <v>91</v>
      </c>
      <c r="F19" t="s">
        <v>92</v>
      </c>
      <c r="G19" t="s">
        <v>12</v>
      </c>
      <c r="H19">
        <f>25334*(1.01^10)</f>
        <v>27984.496925167459</v>
      </c>
      <c r="I19">
        <f>141366*(1.01^10)</f>
        <v>156156.01138088037</v>
      </c>
      <c r="J19" t="s">
        <v>93</v>
      </c>
      <c r="K19">
        <f t="shared" si="0"/>
        <v>367.69410954079535</v>
      </c>
    </row>
    <row r="20" spans="1:11" x14ac:dyDescent="0.2">
      <c r="A20" t="s">
        <v>0</v>
      </c>
      <c r="B20" t="s">
        <v>80</v>
      </c>
      <c r="C20" t="s">
        <v>95</v>
      </c>
      <c r="D20" t="s">
        <v>96</v>
      </c>
      <c r="E20" t="s">
        <v>97</v>
      </c>
      <c r="F20" t="s">
        <v>12</v>
      </c>
      <c r="G20" t="s">
        <v>12</v>
      </c>
      <c r="H20">
        <f>23056*(1.01^10)</f>
        <v>25468.167723480736</v>
      </c>
      <c r="I20">
        <f>124755*(1.01^10)</f>
        <v>137807.13325567485</v>
      </c>
      <c r="J20" t="s">
        <v>98</v>
      </c>
      <c r="K20">
        <f t="shared" si="0"/>
        <v>550.7218689033084</v>
      </c>
    </row>
    <row r="21" spans="1:11" x14ac:dyDescent="0.2">
      <c r="A21" t="s">
        <v>0</v>
      </c>
      <c r="B21" t="s">
        <v>100</v>
      </c>
      <c r="C21" t="s">
        <v>101</v>
      </c>
      <c r="D21" t="s">
        <v>102</v>
      </c>
      <c r="E21" t="s">
        <v>103</v>
      </c>
      <c r="F21" t="s">
        <v>24</v>
      </c>
      <c r="G21" t="s">
        <v>12</v>
      </c>
      <c r="H21">
        <f>13644*(1.01^10)</f>
        <v>15071.464279110478</v>
      </c>
      <c r="I21">
        <f>67773*(1.01^10)</f>
        <v>74863.555305493574</v>
      </c>
      <c r="J21" t="s">
        <v>104</v>
      </c>
      <c r="K21">
        <f t="shared" si="0"/>
        <v>503.48749280713952</v>
      </c>
    </row>
    <row r="22" spans="1:11" x14ac:dyDescent="0.2">
      <c r="A22" t="s">
        <v>0</v>
      </c>
      <c r="B22" t="s">
        <v>100</v>
      </c>
      <c r="C22" t="s">
        <v>106</v>
      </c>
      <c r="D22" t="s">
        <v>107</v>
      </c>
      <c r="E22" t="s">
        <v>108</v>
      </c>
      <c r="F22" t="s">
        <v>12</v>
      </c>
      <c r="G22" t="s">
        <v>24</v>
      </c>
      <c r="H22">
        <f>7612*(1.01^10)</f>
        <v>8408.3836186300905</v>
      </c>
      <c r="I22">
        <f>36227*(1.01^10)</f>
        <v>40017.145737271712</v>
      </c>
      <c r="J22" t="s">
        <v>109</v>
      </c>
      <c r="K22">
        <f t="shared" si="0"/>
        <v>498.34552599342112</v>
      </c>
    </row>
    <row r="23" spans="1:11" x14ac:dyDescent="0.2">
      <c r="A23" t="s">
        <v>0</v>
      </c>
      <c r="B23" t="s">
        <v>100</v>
      </c>
      <c r="C23" t="s">
        <v>111</v>
      </c>
      <c r="D23" t="s">
        <v>112</v>
      </c>
      <c r="E23" t="s">
        <v>4</v>
      </c>
      <c r="F23" t="s">
        <v>11</v>
      </c>
      <c r="G23" t="s">
        <v>12</v>
      </c>
      <c r="H23">
        <f>36640*(1.01^10)</f>
        <v>40473.354675066541</v>
      </c>
      <c r="I23">
        <f>189067*(1.01^10)</f>
        <v>208847.59138512023</v>
      </c>
      <c r="J23" t="s">
        <v>113</v>
      </c>
      <c r="K23">
        <f t="shared" si="0"/>
        <v>351.89740582843893</v>
      </c>
    </row>
    <row r="24" spans="1:11" x14ac:dyDescent="0.2">
      <c r="A24" t="s">
        <v>0</v>
      </c>
      <c r="B24" t="s">
        <v>100</v>
      </c>
      <c r="C24" t="s">
        <v>115</v>
      </c>
      <c r="D24" t="s">
        <v>116</v>
      </c>
      <c r="E24" t="s">
        <v>91</v>
      </c>
      <c r="F24" t="s">
        <v>12</v>
      </c>
      <c r="G24" t="s">
        <v>24</v>
      </c>
      <c r="H24">
        <f>23676*(1.01^10)</f>
        <v>26153.033441235682</v>
      </c>
      <c r="I24">
        <f>123050*(1.01^10)</f>
        <v>135923.75253184873</v>
      </c>
      <c r="J24" t="s">
        <v>117</v>
      </c>
      <c r="K24">
        <f t="shared" si="0"/>
        <v>290.28030439262943</v>
      </c>
    </row>
    <row r="25" spans="1:11" x14ac:dyDescent="0.2">
      <c r="A25" t="s">
        <v>0</v>
      </c>
      <c r="B25" t="s">
        <v>100</v>
      </c>
      <c r="C25" t="s">
        <v>119</v>
      </c>
      <c r="D25" t="s">
        <v>120</v>
      </c>
      <c r="E25" t="s">
        <v>121</v>
      </c>
      <c r="F25" t="s">
        <v>12</v>
      </c>
      <c r="G25" t="s">
        <v>24</v>
      </c>
      <c r="H25">
        <f>16243*(1.01^10)</f>
        <v>17942.377183054199</v>
      </c>
      <c r="I25">
        <f>72667*(1.01^10)</f>
        <v>80269.575987256016</v>
      </c>
      <c r="J25" t="s">
        <v>122</v>
      </c>
      <c r="K25">
        <f t="shared" si="0"/>
        <v>194.37615262314998</v>
      </c>
    </row>
    <row r="26" spans="1:11" x14ac:dyDescent="0.2">
      <c r="A26" t="s">
        <v>0</v>
      </c>
      <c r="B26" t="s">
        <v>100</v>
      </c>
      <c r="C26" t="s">
        <v>124</v>
      </c>
      <c r="D26" t="s">
        <v>125</v>
      </c>
      <c r="E26" t="s">
        <v>126</v>
      </c>
      <c r="F26" t="s">
        <v>5</v>
      </c>
      <c r="G26" t="s">
        <v>12</v>
      </c>
      <c r="H26">
        <f>18323*(1.01^10)</f>
        <v>20239.991203909503</v>
      </c>
      <c r="I26">
        <f>89416*(1.01^10)</f>
        <v>98770.891965768285</v>
      </c>
      <c r="J26" t="s">
        <v>127</v>
      </c>
      <c r="K26">
        <f t="shared" si="0"/>
        <v>204.90610950722629</v>
      </c>
    </row>
    <row r="27" spans="1:11" x14ac:dyDescent="0.2">
      <c r="A27" t="s">
        <v>0</v>
      </c>
      <c r="B27" t="s">
        <v>100</v>
      </c>
      <c r="C27" t="s">
        <v>129</v>
      </c>
      <c r="D27" t="s">
        <v>130</v>
      </c>
      <c r="E27" t="s">
        <v>131</v>
      </c>
      <c r="F27" t="s">
        <v>24</v>
      </c>
      <c r="G27" t="s">
        <v>12</v>
      </c>
      <c r="H27">
        <f>14263*(1.01^10)</f>
        <v>15755.225374740014</v>
      </c>
      <c r="I27">
        <f>64215*(1.01^10)</f>
        <v>70933.309783280507</v>
      </c>
      <c r="J27" t="s">
        <v>132</v>
      </c>
      <c r="K27">
        <f t="shared" si="0"/>
        <v>212.73823526161564</v>
      </c>
    </row>
    <row r="28" spans="1:11" x14ac:dyDescent="0.2">
      <c r="A28" t="s">
        <v>0</v>
      </c>
      <c r="B28" t="s">
        <v>134</v>
      </c>
      <c r="C28" t="s">
        <v>135</v>
      </c>
      <c r="D28" t="s">
        <v>136</v>
      </c>
      <c r="E28" t="s">
        <v>137</v>
      </c>
      <c r="F28" t="s">
        <v>12</v>
      </c>
      <c r="G28" t="s">
        <v>12</v>
      </c>
      <c r="H28">
        <f>28687*(1.01^10)</f>
        <v>31688.29491167123</v>
      </c>
      <c r="I28">
        <f>150882*(1.01^10)</f>
        <v>166667.59552629339</v>
      </c>
      <c r="J28" t="s">
        <v>138</v>
      </c>
      <c r="K28">
        <f t="shared" si="0"/>
        <v>246.87106814535696</v>
      </c>
    </row>
    <row r="29" spans="1:11" x14ac:dyDescent="0.2">
      <c r="A29" t="s">
        <v>0</v>
      </c>
      <c r="B29" t="s">
        <v>134</v>
      </c>
      <c r="C29" t="s">
        <v>140</v>
      </c>
      <c r="D29" t="s">
        <v>141</v>
      </c>
      <c r="E29" t="s">
        <v>142</v>
      </c>
      <c r="F29" t="s">
        <v>12</v>
      </c>
      <c r="G29" t="s">
        <v>12</v>
      </c>
      <c r="H29">
        <f>13312*(1.01^10)</f>
        <v>14704.729733473958</v>
      </c>
      <c r="I29">
        <f>70810*(1.01^10)</f>
        <v>78218.292700367412</v>
      </c>
      <c r="J29" t="s">
        <v>143</v>
      </c>
      <c r="K29">
        <f t="shared" si="0"/>
        <v>227.22023210657508</v>
      </c>
    </row>
    <row r="30" spans="1:11" x14ac:dyDescent="0.2">
      <c r="A30" t="s">
        <v>0</v>
      </c>
      <c r="B30" t="s">
        <v>134</v>
      </c>
      <c r="C30" t="s">
        <v>145</v>
      </c>
      <c r="D30" t="s">
        <v>146</v>
      </c>
      <c r="E30" t="s">
        <v>97</v>
      </c>
      <c r="F30" t="s">
        <v>24</v>
      </c>
      <c r="G30" t="s">
        <v>24</v>
      </c>
      <c r="H30">
        <f>8096*(1.01^10)</f>
        <v>8943.0207273291144</v>
      </c>
      <c r="I30">
        <f>45996*(1.01^10)</f>
        <v>50808.199280413777</v>
      </c>
      <c r="J30" t="s">
        <v>147</v>
      </c>
      <c r="K30">
        <f t="shared" si="0"/>
        <v>108.53669845427193</v>
      </c>
    </row>
    <row r="31" spans="1:11" x14ac:dyDescent="0.2">
      <c r="A31" t="s">
        <v>0</v>
      </c>
      <c r="B31" t="s">
        <v>134</v>
      </c>
      <c r="C31" t="s">
        <v>149</v>
      </c>
      <c r="D31" t="s">
        <v>150</v>
      </c>
      <c r="E31" t="s">
        <v>151</v>
      </c>
      <c r="F31" t="s">
        <v>152</v>
      </c>
      <c r="G31" t="s">
        <v>11</v>
      </c>
      <c r="H31">
        <f>41206*(1.01^10)</f>
        <v>45517.059299694105</v>
      </c>
      <c r="I31">
        <f>210949*(1.01^10)</f>
        <v>233018.93273336822</v>
      </c>
      <c r="J31" t="s">
        <v>153</v>
      </c>
      <c r="K31">
        <f t="shared" si="0"/>
        <v>413.2347314784235</v>
      </c>
    </row>
    <row r="32" spans="1:11" x14ac:dyDescent="0.2">
      <c r="A32" t="s">
        <v>0</v>
      </c>
      <c r="B32" t="s">
        <v>134</v>
      </c>
      <c r="C32" t="s">
        <v>155</v>
      </c>
      <c r="D32" t="s">
        <v>156</v>
      </c>
      <c r="E32" t="s">
        <v>157</v>
      </c>
      <c r="F32" t="s">
        <v>158</v>
      </c>
      <c r="G32" t="s">
        <v>12</v>
      </c>
      <c r="H32">
        <f>28282*(1.01^10)</f>
        <v>31240.922950879693</v>
      </c>
      <c r="I32">
        <f>137798*(1.01^10)</f>
        <v>152214.71963741319</v>
      </c>
      <c r="J32" t="s">
        <v>159</v>
      </c>
      <c r="K32">
        <f t="shared" si="0"/>
        <v>391.37796883012749</v>
      </c>
    </row>
    <row r="33" spans="1:11" x14ac:dyDescent="0.2">
      <c r="A33" t="s">
        <v>0</v>
      </c>
      <c r="B33" t="s">
        <v>161</v>
      </c>
      <c r="C33" t="s">
        <v>162</v>
      </c>
      <c r="D33" t="s">
        <v>163</v>
      </c>
      <c r="E33" t="s">
        <v>164</v>
      </c>
      <c r="F33" t="s">
        <v>12</v>
      </c>
      <c r="G33" t="s">
        <v>12</v>
      </c>
      <c r="H33">
        <f>33709*(1.01^10)</f>
        <v>37235.707225486301</v>
      </c>
      <c r="I33">
        <f>219913*(1.01^10)</f>
        <v>242920.76546555426</v>
      </c>
      <c r="J33" t="s">
        <v>165</v>
      </c>
      <c r="K33">
        <f t="shared" si="0"/>
        <v>1428.1895788438724</v>
      </c>
    </row>
    <row r="34" spans="1:11" x14ac:dyDescent="0.2">
      <c r="A34" t="s">
        <v>0</v>
      </c>
      <c r="B34" t="s">
        <v>161</v>
      </c>
      <c r="C34" t="s">
        <v>166</v>
      </c>
      <c r="D34" t="s">
        <v>167</v>
      </c>
      <c r="E34" t="s">
        <v>168</v>
      </c>
      <c r="F34" t="s">
        <v>24</v>
      </c>
      <c r="G34" t="s">
        <v>12</v>
      </c>
      <c r="H34">
        <f>14178*(1.01^10)</f>
        <v>15661.332494080061</v>
      </c>
      <c r="I34">
        <f>92639*(1.01^10)</f>
        <v>102331.0890759686</v>
      </c>
      <c r="J34" t="s">
        <v>169</v>
      </c>
      <c r="K34">
        <f t="shared" si="0"/>
        <v>902.86826430182282</v>
      </c>
    </row>
    <row r="35" spans="1:11" x14ac:dyDescent="0.2">
      <c r="A35" t="s">
        <v>0</v>
      </c>
      <c r="B35" t="s">
        <v>161</v>
      </c>
      <c r="C35" t="s">
        <v>170</v>
      </c>
      <c r="D35" t="s">
        <v>171</v>
      </c>
      <c r="E35" t="s">
        <v>172</v>
      </c>
      <c r="F35" t="s">
        <v>12</v>
      </c>
      <c r="G35" t="s">
        <v>12</v>
      </c>
      <c r="H35">
        <f>28428*(1.01^10)</f>
        <v>31402.197781189727</v>
      </c>
      <c r="I35">
        <f>229155*(1.01^10)</f>
        <v>253129.68314860461</v>
      </c>
      <c r="J35" t="s">
        <v>173</v>
      </c>
      <c r="K35">
        <f t="shared" si="0"/>
        <v>1395.8844333771071</v>
      </c>
    </row>
    <row r="36" spans="1:11" x14ac:dyDescent="0.2">
      <c r="A36" t="s">
        <v>0</v>
      </c>
      <c r="B36" t="s">
        <v>161</v>
      </c>
      <c r="C36" t="s">
        <v>174</v>
      </c>
      <c r="D36" t="s">
        <v>175</v>
      </c>
      <c r="E36" t="s">
        <v>176</v>
      </c>
      <c r="F36" t="s">
        <v>24</v>
      </c>
      <c r="G36" t="s">
        <v>12</v>
      </c>
      <c r="H36">
        <f>24196*(1.01^10)</f>
        <v>26727.43694644951</v>
      </c>
      <c r="I36">
        <f>149649*(1.01^10)</f>
        <v>165305.59644566139</v>
      </c>
      <c r="J36" t="s">
        <v>177</v>
      </c>
      <c r="K36">
        <f t="shared" si="0"/>
        <v>1350.9774145608155</v>
      </c>
    </row>
    <row r="37" spans="1:11" x14ac:dyDescent="0.2">
      <c r="A37" t="s">
        <v>0</v>
      </c>
      <c r="B37" t="s">
        <v>161</v>
      </c>
      <c r="C37" t="s">
        <v>178</v>
      </c>
      <c r="D37" t="s">
        <v>179</v>
      </c>
      <c r="E37" t="s">
        <v>180</v>
      </c>
      <c r="F37" t="s">
        <v>24</v>
      </c>
      <c r="G37" t="s">
        <v>24</v>
      </c>
      <c r="H37">
        <f>11402*(1.01^10)</f>
        <v>12594.901473938557</v>
      </c>
      <c r="I37">
        <f>66954*(1.01^10)</f>
        <v>73958.869784781797</v>
      </c>
      <c r="J37" t="s">
        <v>181</v>
      </c>
      <c r="K37">
        <f t="shared" si="0"/>
        <v>878.47570714790118</v>
      </c>
    </row>
    <row r="38" spans="1:11" x14ac:dyDescent="0.2">
      <c r="A38" t="s">
        <v>0</v>
      </c>
      <c r="B38" t="s">
        <v>161</v>
      </c>
      <c r="C38" t="s">
        <v>183</v>
      </c>
      <c r="D38" t="s">
        <v>184</v>
      </c>
      <c r="E38" t="s">
        <v>185</v>
      </c>
      <c r="F38" t="s">
        <v>6</v>
      </c>
      <c r="G38" t="s">
        <v>12</v>
      </c>
      <c r="H38">
        <f>12109*(1.01^10)</f>
        <v>13375.869316604278</v>
      </c>
      <c r="I38">
        <f>74867*(1.01^10)</f>
        <v>82699.744663160673</v>
      </c>
      <c r="J38" t="s">
        <v>186</v>
      </c>
      <c r="K38">
        <f t="shared" si="0"/>
        <v>516.71193166610851</v>
      </c>
    </row>
    <row r="39" spans="1:11" x14ac:dyDescent="0.2">
      <c r="A39" t="s">
        <v>0</v>
      </c>
      <c r="B39" t="s">
        <v>161</v>
      </c>
      <c r="C39" t="s">
        <v>188</v>
      </c>
      <c r="D39" t="s">
        <v>189</v>
      </c>
      <c r="E39" t="s">
        <v>126</v>
      </c>
      <c r="F39" t="s">
        <v>24</v>
      </c>
      <c r="G39" t="s">
        <v>24</v>
      </c>
      <c r="H39">
        <f>11912*(1.01^10)</f>
        <v>13158.258757898271</v>
      </c>
      <c r="I39">
        <f>72564*(1.01^10)</f>
        <v>80155.799908338668</v>
      </c>
      <c r="J39" t="s">
        <v>190</v>
      </c>
      <c r="K39">
        <f t="shared" si="0"/>
        <v>838.53750296410362</v>
      </c>
    </row>
    <row r="40" spans="1:11" x14ac:dyDescent="0.2">
      <c r="A40" t="s">
        <v>0</v>
      </c>
      <c r="B40" t="s">
        <v>161</v>
      </c>
      <c r="C40" t="s">
        <v>191</v>
      </c>
      <c r="D40" t="s">
        <v>192</v>
      </c>
      <c r="E40" t="s">
        <v>32</v>
      </c>
      <c r="F40" t="s">
        <v>24</v>
      </c>
      <c r="G40" t="s">
        <v>17</v>
      </c>
      <c r="H40">
        <f>16701*(1.01^10)</f>
        <v>18448.294116492529</v>
      </c>
      <c r="I40">
        <f>102298*(1.01^10)</f>
        <v>113000.63418531543</v>
      </c>
      <c r="J40" t="s">
        <v>193</v>
      </c>
      <c r="K40">
        <f t="shared" si="0"/>
        <v>1014.0952542880322</v>
      </c>
    </row>
    <row r="41" spans="1:11" x14ac:dyDescent="0.2">
      <c r="A41" t="s">
        <v>0</v>
      </c>
      <c r="B41" t="s">
        <v>194</v>
      </c>
      <c r="C41" t="s">
        <v>195</v>
      </c>
      <c r="D41" t="s">
        <v>196</v>
      </c>
      <c r="E41" t="s">
        <v>56</v>
      </c>
      <c r="F41" t="s">
        <v>24</v>
      </c>
      <c r="G41" t="s">
        <v>24</v>
      </c>
      <c r="H41">
        <f>5026*(1.01^10)</f>
        <v>5551.8308023167147</v>
      </c>
      <c r="I41">
        <f>37992*(1.01^10)</f>
        <v>41966.803788622492</v>
      </c>
      <c r="J41" t="s">
        <v>197</v>
      </c>
      <c r="K41">
        <f t="shared" si="0"/>
        <v>939.69556176942444</v>
      </c>
    </row>
    <row r="42" spans="1:11" x14ac:dyDescent="0.2">
      <c r="A42" t="s">
        <v>0</v>
      </c>
      <c r="B42" t="s">
        <v>194</v>
      </c>
      <c r="C42" t="s">
        <v>198</v>
      </c>
      <c r="D42" t="s">
        <v>199</v>
      </c>
      <c r="E42" t="s">
        <v>185</v>
      </c>
      <c r="F42" t="s">
        <v>12</v>
      </c>
      <c r="G42" t="s">
        <v>12</v>
      </c>
      <c r="H42">
        <f>28360*(1.01^10)</f>
        <v>31327.083476661766</v>
      </c>
      <c r="I42">
        <f>177738*(1.01^10)</f>
        <v>196333.3273263367</v>
      </c>
      <c r="J42" t="s">
        <v>200</v>
      </c>
      <c r="K42">
        <f t="shared" si="0"/>
        <v>1689.4701602817031</v>
      </c>
    </row>
    <row r="43" spans="1:11" x14ac:dyDescent="0.2">
      <c r="A43" t="s">
        <v>0</v>
      </c>
      <c r="B43" t="s">
        <v>194</v>
      </c>
      <c r="C43" t="s">
        <v>201</v>
      </c>
      <c r="D43" t="s">
        <v>202</v>
      </c>
      <c r="E43" t="s">
        <v>180</v>
      </c>
      <c r="F43" t="s">
        <v>17</v>
      </c>
      <c r="G43" t="s">
        <v>17</v>
      </c>
      <c r="H43">
        <f>25006*(1.01^10)</f>
        <v>27622.180868032585</v>
      </c>
      <c r="I43">
        <f>176502*(1.01^10)</f>
        <v>194968.01437932847</v>
      </c>
      <c r="J43" t="s">
        <v>203</v>
      </c>
      <c r="K43">
        <f t="shared" si="0"/>
        <v>1059.6087738006981</v>
      </c>
    </row>
    <row r="44" spans="1:11" x14ac:dyDescent="0.2">
      <c r="A44" t="s">
        <v>0</v>
      </c>
      <c r="B44" t="s">
        <v>204</v>
      </c>
      <c r="C44" t="s">
        <v>205</v>
      </c>
      <c r="D44" t="s">
        <v>206</v>
      </c>
      <c r="E44" t="s">
        <v>152</v>
      </c>
      <c r="F44" t="s">
        <v>24</v>
      </c>
      <c r="G44" t="s">
        <v>11</v>
      </c>
      <c r="H44">
        <f>188079*(1.01^10)</f>
        <v>207756.22472521398</v>
      </c>
      <c r="I44">
        <f>1216358*(1.01^10)</f>
        <v>1343615.9592209221</v>
      </c>
      <c r="J44" t="s">
        <v>207</v>
      </c>
      <c r="K44">
        <f t="shared" si="0"/>
        <v>4507.7195263559634</v>
      </c>
    </row>
    <row r="45" spans="1:11" x14ac:dyDescent="0.2">
      <c r="A45" t="s">
        <v>0</v>
      </c>
      <c r="B45" t="s">
        <v>204</v>
      </c>
      <c r="C45" t="s">
        <v>208</v>
      </c>
      <c r="D45" t="s">
        <v>209</v>
      </c>
      <c r="E45" t="s">
        <v>11</v>
      </c>
      <c r="F45" t="s">
        <v>24</v>
      </c>
      <c r="G45" t="s">
        <v>17</v>
      </c>
      <c r="H45">
        <f>3599*(1.01^10)</f>
        <v>3975.5350293549259</v>
      </c>
      <c r="I45">
        <f>20471*(1.01^10)</f>
        <v>22612.719529292772</v>
      </c>
      <c r="J45" t="s">
        <v>210</v>
      </c>
      <c r="K45">
        <f t="shared" si="0"/>
        <v>1820.6698493794502</v>
      </c>
    </row>
    <row r="46" spans="1:11" x14ac:dyDescent="0.2">
      <c r="A46" t="s">
        <v>0</v>
      </c>
      <c r="B46" t="s">
        <v>211</v>
      </c>
      <c r="C46" t="s">
        <v>212</v>
      </c>
      <c r="D46" t="s">
        <v>213</v>
      </c>
      <c r="E46" t="s">
        <v>176</v>
      </c>
      <c r="F46" t="s">
        <v>24</v>
      </c>
      <c r="G46" t="s">
        <v>12</v>
      </c>
      <c r="H46">
        <f>13620*(1.01^10)</f>
        <v>15044.953348100609</v>
      </c>
      <c r="I46">
        <f>90694*(1.01^10)</f>
        <v>100182.5990420438</v>
      </c>
      <c r="J46" t="s">
        <v>214</v>
      </c>
      <c r="K46">
        <f t="shared" si="0"/>
        <v>1208.1837800535914</v>
      </c>
    </row>
    <row r="47" spans="1:11" x14ac:dyDescent="0.2">
      <c r="A47" t="s">
        <v>0</v>
      </c>
      <c r="B47" t="s">
        <v>211</v>
      </c>
      <c r="C47" t="s">
        <v>215</v>
      </c>
      <c r="D47" t="s">
        <v>216</v>
      </c>
      <c r="E47" t="s">
        <v>176</v>
      </c>
      <c r="F47" t="s">
        <v>24</v>
      </c>
      <c r="G47" t="s">
        <v>24</v>
      </c>
      <c r="H47">
        <f>18326*(1.01^10)</f>
        <v>20243.30507028574</v>
      </c>
      <c r="I47">
        <f>120934*(1.01^10)</f>
        <v>133586.37211447864</v>
      </c>
      <c r="J47" t="s">
        <v>217</v>
      </c>
      <c r="K47">
        <f t="shared" si="0"/>
        <v>1477.071783662966</v>
      </c>
    </row>
    <row r="48" spans="1:11" x14ac:dyDescent="0.2">
      <c r="A48" t="s">
        <v>0</v>
      </c>
      <c r="B48" t="s">
        <v>211</v>
      </c>
      <c r="C48" t="s">
        <v>218</v>
      </c>
      <c r="D48" t="s">
        <v>219</v>
      </c>
      <c r="E48" t="s">
        <v>220</v>
      </c>
      <c r="F48" t="s">
        <v>17</v>
      </c>
      <c r="G48" t="s">
        <v>17</v>
      </c>
      <c r="H48">
        <f>13415*(1.01^10)</f>
        <v>14818.505812391311</v>
      </c>
      <c r="I48">
        <f>85818*(1.01^10)</f>
        <v>94796.461558538766</v>
      </c>
      <c r="J48" t="s">
        <v>221</v>
      </c>
      <c r="K48">
        <f t="shared" si="0"/>
        <v>1102.7973657345135</v>
      </c>
    </row>
    <row r="49" spans="1:11" x14ac:dyDescent="0.2">
      <c r="A49" t="s">
        <v>0</v>
      </c>
      <c r="B49" t="s">
        <v>222</v>
      </c>
      <c r="C49" t="s">
        <v>223</v>
      </c>
      <c r="D49" t="s">
        <v>224</v>
      </c>
      <c r="E49" t="s">
        <v>61</v>
      </c>
      <c r="F49" t="s">
        <v>11</v>
      </c>
      <c r="G49" t="s">
        <v>17</v>
      </c>
      <c r="H49">
        <f>12350*(1.01^10)</f>
        <v>13642.08324882838</v>
      </c>
      <c r="I49">
        <f>81564*(1.01^10)</f>
        <v>90097.399037039504</v>
      </c>
      <c r="J49" t="s">
        <v>225</v>
      </c>
      <c r="K49">
        <f t="shared" si="0"/>
        <v>801.50697479796736</v>
      </c>
    </row>
    <row r="50" spans="1:11" x14ac:dyDescent="0.2">
      <c r="A50" t="s">
        <v>0</v>
      </c>
      <c r="B50" t="s">
        <v>222</v>
      </c>
      <c r="C50" t="s">
        <v>226</v>
      </c>
      <c r="D50" t="s">
        <v>227</v>
      </c>
      <c r="E50" t="s">
        <v>131</v>
      </c>
      <c r="F50" t="s">
        <v>11</v>
      </c>
      <c r="G50" t="s">
        <v>12</v>
      </c>
      <c r="H50">
        <f>12091*(1.01^10)</f>
        <v>13355.986118346877</v>
      </c>
      <c r="I50">
        <f>86507*(1.01^10)</f>
        <v>95557.546202947095</v>
      </c>
      <c r="J50" t="s">
        <v>228</v>
      </c>
      <c r="K50">
        <f t="shared" si="0"/>
        <v>817.28999489349212</v>
      </c>
    </row>
    <row r="51" spans="1:11" x14ac:dyDescent="0.2">
      <c r="A51" t="s">
        <v>0</v>
      </c>
      <c r="B51" t="s">
        <v>222</v>
      </c>
      <c r="C51" t="s">
        <v>230</v>
      </c>
      <c r="D51" t="s">
        <v>231</v>
      </c>
      <c r="E51" t="s">
        <v>232</v>
      </c>
      <c r="F51" t="s">
        <v>24</v>
      </c>
      <c r="G51" t="s">
        <v>12</v>
      </c>
      <c r="H51">
        <f>18659*(1.01^10)</f>
        <v>20611.144238047669</v>
      </c>
      <c r="I51">
        <f>110196*(1.01^10)</f>
        <v>121724.93973181312</v>
      </c>
      <c r="J51" t="s">
        <v>233</v>
      </c>
      <c r="K51">
        <f t="shared" si="0"/>
        <v>1032.7050117231961</v>
      </c>
    </row>
    <row r="52" spans="1:11" x14ac:dyDescent="0.2">
      <c r="A52" t="s">
        <v>0</v>
      </c>
      <c r="B52" t="s">
        <v>222</v>
      </c>
      <c r="C52" t="s">
        <v>234</v>
      </c>
      <c r="D52" t="s">
        <v>235</v>
      </c>
      <c r="E52" t="s">
        <v>236</v>
      </c>
      <c r="F52" t="s">
        <v>5</v>
      </c>
      <c r="G52" t="s">
        <v>12</v>
      </c>
      <c r="H52">
        <f>43141*(1.01^10)</f>
        <v>47654.503112364786</v>
      </c>
      <c r="I52">
        <f>282173*(1.01^10)</f>
        <v>311694.53899365588</v>
      </c>
      <c r="J52" t="s">
        <v>237</v>
      </c>
      <c r="K52">
        <f t="shared" si="0"/>
        <v>1079.723358021532</v>
      </c>
    </row>
    <row r="53" spans="1:11" x14ac:dyDescent="0.2">
      <c r="A53" t="s">
        <v>0</v>
      </c>
      <c r="B53" t="s">
        <v>239</v>
      </c>
      <c r="C53" t="s">
        <v>240</v>
      </c>
      <c r="D53" t="s">
        <v>241</v>
      </c>
      <c r="E53" t="s">
        <v>242</v>
      </c>
      <c r="F53" t="s">
        <v>11</v>
      </c>
      <c r="G53" t="s">
        <v>12</v>
      </c>
      <c r="H53">
        <f>44411*(1.01^10)</f>
        <v>49057.373211637016</v>
      </c>
      <c r="I53">
        <f>266215*(1.01^10)</f>
        <v>294066.97911634389</v>
      </c>
      <c r="J53" t="s">
        <v>243</v>
      </c>
      <c r="K53">
        <f t="shared" si="0"/>
        <v>943.33871977783303</v>
      </c>
    </row>
    <row r="54" spans="1:11" x14ac:dyDescent="0.2">
      <c r="A54" t="s">
        <v>0</v>
      </c>
      <c r="B54" t="s">
        <v>244</v>
      </c>
      <c r="C54" t="s">
        <v>245</v>
      </c>
      <c r="D54" t="s">
        <v>246</v>
      </c>
      <c r="E54" t="s">
        <v>137</v>
      </c>
      <c r="F54" t="s">
        <v>12</v>
      </c>
      <c r="G54" t="s">
        <v>17</v>
      </c>
      <c r="H54">
        <f>19277*(1.01^10)</f>
        <v>21293.800711551794</v>
      </c>
      <c r="I54">
        <f>119884*(1.01^10)</f>
        <v>132426.51888279687</v>
      </c>
      <c r="J54" t="s">
        <v>247</v>
      </c>
      <c r="K54">
        <f t="shared" si="0"/>
        <v>1057.550861546054</v>
      </c>
    </row>
    <row r="55" spans="1:11" x14ac:dyDescent="0.2">
      <c r="A55" t="s">
        <v>0</v>
      </c>
      <c r="B55" t="s">
        <v>244</v>
      </c>
      <c r="C55" t="s">
        <v>248</v>
      </c>
      <c r="D55" t="s">
        <v>249</v>
      </c>
      <c r="E55" t="s">
        <v>91</v>
      </c>
      <c r="F55" t="s">
        <v>12</v>
      </c>
      <c r="G55" t="s">
        <v>17</v>
      </c>
      <c r="H55">
        <f>20450*(1.01^10)</f>
        <v>22589.522464659138</v>
      </c>
      <c r="I55">
        <f>146801*(1.01^10)</f>
        <v>162159.63263249028</v>
      </c>
      <c r="J55" t="s">
        <v>250</v>
      </c>
      <c r="K55">
        <f t="shared" si="0"/>
        <v>1141.1656061399738</v>
      </c>
    </row>
    <row r="56" spans="1:11" x14ac:dyDescent="0.2">
      <c r="A56" t="s">
        <v>0</v>
      </c>
      <c r="B56" t="s">
        <v>244</v>
      </c>
      <c r="C56" t="s">
        <v>251</v>
      </c>
      <c r="D56" t="s">
        <v>252</v>
      </c>
      <c r="E56" t="s">
        <v>253</v>
      </c>
      <c r="F56" t="s">
        <v>5</v>
      </c>
      <c r="G56" t="s">
        <v>5</v>
      </c>
      <c r="H56">
        <f>48726*(1.01^10)</f>
        <v>53823.817682786364</v>
      </c>
      <c r="I56">
        <f>364763*(1.01^10)</f>
        <v>402925.28033136728</v>
      </c>
      <c r="J56" t="s">
        <v>254</v>
      </c>
      <c r="K56">
        <f t="shared" si="0"/>
        <v>2133.799080291094</v>
      </c>
    </row>
    <row r="57" spans="1:11" x14ac:dyDescent="0.2">
      <c r="A57" t="s">
        <v>0</v>
      </c>
      <c r="B57" t="s">
        <v>244</v>
      </c>
      <c r="C57" t="s">
        <v>255</v>
      </c>
      <c r="D57" t="s">
        <v>256</v>
      </c>
      <c r="E57" t="s">
        <v>77</v>
      </c>
      <c r="F57" t="s">
        <v>24</v>
      </c>
      <c r="G57" t="s">
        <v>12</v>
      </c>
      <c r="H57">
        <f>12400*(1.01^10)</f>
        <v>13697.314355098939</v>
      </c>
      <c r="I57">
        <f>74103*(1.01^10)</f>
        <v>81855.813359346503</v>
      </c>
      <c r="J57" t="s">
        <v>257</v>
      </c>
      <c r="K57">
        <f t="shared" si="0"/>
        <v>1385.2735379818328</v>
      </c>
    </row>
    <row r="58" spans="1:11" x14ac:dyDescent="0.2">
      <c r="A58" t="s">
        <v>0</v>
      </c>
      <c r="B58" t="s">
        <v>244</v>
      </c>
      <c r="C58" t="s">
        <v>259</v>
      </c>
      <c r="D58" t="s">
        <v>260</v>
      </c>
      <c r="E58" t="s">
        <v>91</v>
      </c>
      <c r="F58" t="s">
        <v>24</v>
      </c>
      <c r="G58" t="s">
        <v>12</v>
      </c>
      <c r="H58">
        <f>27343*(1.01^10)</f>
        <v>30203.68277511857</v>
      </c>
      <c r="I58">
        <f>173712*(1.01^10)</f>
        <v>191886.11864943121</v>
      </c>
      <c r="J58" t="s">
        <v>261</v>
      </c>
      <c r="K58">
        <f t="shared" si="0"/>
        <v>1522.7848476266265</v>
      </c>
    </row>
    <row r="59" spans="1:11" x14ac:dyDescent="0.2">
      <c r="A59" t="s">
        <v>0</v>
      </c>
      <c r="B59" t="s">
        <v>244</v>
      </c>
      <c r="C59" t="s">
        <v>262</v>
      </c>
      <c r="D59" t="s">
        <v>263</v>
      </c>
      <c r="E59" t="s">
        <v>264</v>
      </c>
      <c r="F59" t="s">
        <v>12</v>
      </c>
      <c r="G59" t="s">
        <v>17</v>
      </c>
      <c r="H59">
        <f>25444*(1.01^10)</f>
        <v>28106.005358962695</v>
      </c>
      <c r="I59">
        <f>199429*(1.01^10)</f>
        <v>220293.68584863114</v>
      </c>
      <c r="J59" t="s">
        <v>265</v>
      </c>
      <c r="K59">
        <f t="shared" si="0"/>
        <v>1685.6200615856694</v>
      </c>
    </row>
    <row r="60" spans="1:11" x14ac:dyDescent="0.2">
      <c r="A60" t="s">
        <v>0</v>
      </c>
      <c r="B60" t="s">
        <v>266</v>
      </c>
      <c r="C60" t="s">
        <v>267</v>
      </c>
      <c r="D60" t="s">
        <v>268</v>
      </c>
      <c r="E60" t="s">
        <v>269</v>
      </c>
      <c r="F60" t="s">
        <v>17</v>
      </c>
      <c r="G60" t="s">
        <v>158</v>
      </c>
      <c r="H60">
        <f>49700*(1.01^10)</f>
        <v>54899.719632936874</v>
      </c>
      <c r="I60">
        <f>285773*(1.01^10)</f>
        <v>315671.17864513624</v>
      </c>
      <c r="J60" t="s">
        <v>270</v>
      </c>
      <c r="K60">
        <f t="shared" si="0"/>
        <v>1189.5959400253853</v>
      </c>
    </row>
    <row r="61" spans="1:11" x14ac:dyDescent="0.2">
      <c r="A61" t="s">
        <v>0</v>
      </c>
      <c r="B61" t="s">
        <v>266</v>
      </c>
      <c r="C61" t="s">
        <v>272</v>
      </c>
      <c r="D61" t="s">
        <v>273</v>
      </c>
      <c r="E61" t="s">
        <v>274</v>
      </c>
      <c r="F61" t="s">
        <v>12</v>
      </c>
      <c r="G61" t="s">
        <v>12</v>
      </c>
      <c r="H61">
        <f>4924*(1.01^10)</f>
        <v>5439.1593455247721</v>
      </c>
      <c r="I61">
        <f>31893*(1.01^10)</f>
        <v>35229.713445739551</v>
      </c>
      <c r="J61" t="s">
        <v>275</v>
      </c>
      <c r="K61">
        <f t="shared" si="0"/>
        <v>1729.4901053382205</v>
      </c>
    </row>
    <row r="62" spans="1:11" x14ac:dyDescent="0.2">
      <c r="A62" t="s">
        <v>0</v>
      </c>
      <c r="B62" t="s">
        <v>266</v>
      </c>
      <c r="C62" t="s">
        <v>276</v>
      </c>
      <c r="D62" t="s">
        <v>277</v>
      </c>
      <c r="E62" t="s">
        <v>180</v>
      </c>
      <c r="F62" t="s">
        <v>17</v>
      </c>
      <c r="G62" t="s">
        <v>24</v>
      </c>
      <c r="H62">
        <f>19104*(1.01^10)</f>
        <v>21102.701083855656</v>
      </c>
      <c r="I62">
        <f>106817*(1.01^10)</f>
        <v>117992.42157004865</v>
      </c>
      <c r="J62" t="s">
        <v>278</v>
      </c>
      <c r="K62">
        <f t="shared" si="0"/>
        <v>946.66576997792561</v>
      </c>
    </row>
    <row r="63" spans="1:11" x14ac:dyDescent="0.2">
      <c r="A63" t="s">
        <v>0</v>
      </c>
      <c r="B63" t="s">
        <v>279</v>
      </c>
      <c r="C63" t="s">
        <v>280</v>
      </c>
      <c r="D63" t="s">
        <v>281</v>
      </c>
      <c r="E63" t="s">
        <v>282</v>
      </c>
      <c r="F63" t="s">
        <v>12</v>
      </c>
      <c r="G63" t="s">
        <v>12</v>
      </c>
      <c r="H63">
        <f>41297*(1.01^10)</f>
        <v>45617.579913106521</v>
      </c>
      <c r="I63">
        <f>202716*(1.01^10)</f>
        <v>223924.57877485777</v>
      </c>
      <c r="J63" t="s">
        <v>283</v>
      </c>
      <c r="K63">
        <f t="shared" si="0"/>
        <v>218.75966312839634</v>
      </c>
    </row>
    <row r="64" spans="1:11" x14ac:dyDescent="0.2">
      <c r="A64" t="s">
        <v>0</v>
      </c>
      <c r="B64" t="s">
        <v>279</v>
      </c>
      <c r="C64" t="s">
        <v>285</v>
      </c>
      <c r="D64" t="s">
        <v>286</v>
      </c>
      <c r="E64" t="s">
        <v>287</v>
      </c>
      <c r="F64" t="s">
        <v>12</v>
      </c>
      <c r="G64" t="s">
        <v>24</v>
      </c>
      <c r="H64">
        <f>11129*(1.01^10)</f>
        <v>12293.339633701298</v>
      </c>
      <c r="I64">
        <f>59955*(1.01^10)</f>
        <v>66227.619529028787</v>
      </c>
      <c r="J64" t="s">
        <v>288</v>
      </c>
      <c r="K64">
        <f t="shared" si="0"/>
        <v>536.08239864844404</v>
      </c>
    </row>
    <row r="65" spans="1:11" x14ac:dyDescent="0.2">
      <c r="A65" t="s">
        <v>0</v>
      </c>
      <c r="B65" t="s">
        <v>279</v>
      </c>
      <c r="C65" t="s">
        <v>290</v>
      </c>
      <c r="D65" t="s">
        <v>291</v>
      </c>
      <c r="E65" t="s">
        <v>232</v>
      </c>
      <c r="F65" t="s">
        <v>12</v>
      </c>
      <c r="G65" t="s">
        <v>24</v>
      </c>
      <c r="H65">
        <f>13216*(1.01^10)</f>
        <v>14598.686009434481</v>
      </c>
      <c r="I65">
        <f>71889*(1.01^10)</f>
        <v>79410.179973686099</v>
      </c>
      <c r="J65" t="s">
        <v>292</v>
      </c>
      <c r="K65">
        <f t="shared" si="0"/>
        <v>755.71164801756856</v>
      </c>
    </row>
    <row r="66" spans="1:11" x14ac:dyDescent="0.2">
      <c r="A66" t="s">
        <v>0</v>
      </c>
      <c r="B66" t="s">
        <v>279</v>
      </c>
      <c r="C66" t="s">
        <v>294</v>
      </c>
      <c r="D66" t="s">
        <v>295</v>
      </c>
      <c r="E66" t="s">
        <v>4</v>
      </c>
      <c r="F66" t="s">
        <v>12</v>
      </c>
      <c r="G66" t="s">
        <v>12</v>
      </c>
      <c r="H66">
        <f>13994*(1.01^10)</f>
        <v>15458.082023004399</v>
      </c>
      <c r="I66">
        <f>75376*(1.01^10)</f>
        <v>83261.997324994969</v>
      </c>
      <c r="J66" t="s">
        <v>296</v>
      </c>
      <c r="K66">
        <f t="shared" si="0"/>
        <v>742.28400931617159</v>
      </c>
    </row>
    <row r="67" spans="1:11" x14ac:dyDescent="0.2">
      <c r="A67" t="s">
        <v>0</v>
      </c>
      <c r="B67" t="s">
        <v>297</v>
      </c>
      <c r="C67" t="s">
        <v>298</v>
      </c>
      <c r="D67" t="s">
        <v>299</v>
      </c>
      <c r="E67" t="s">
        <v>97</v>
      </c>
      <c r="F67" t="s">
        <v>12</v>
      </c>
      <c r="G67" t="s">
        <v>12</v>
      </c>
      <c r="H67">
        <f>25018*(1.01^10)</f>
        <v>27635.43633353752</v>
      </c>
      <c r="I67">
        <f>125045*(1.01^10)</f>
        <v>138127.47367204409</v>
      </c>
      <c r="J67" t="s">
        <v>300</v>
      </c>
      <c r="K67">
        <f t="shared" ref="K67:K130" si="1">I67/J67</f>
        <v>245.30701440655693</v>
      </c>
    </row>
    <row r="68" spans="1:11" x14ac:dyDescent="0.2">
      <c r="A68" t="s">
        <v>0</v>
      </c>
      <c r="B68" t="s">
        <v>297</v>
      </c>
      <c r="C68" t="s">
        <v>302</v>
      </c>
      <c r="D68" t="s">
        <v>303</v>
      </c>
      <c r="E68" t="s">
        <v>172</v>
      </c>
      <c r="F68" t="s">
        <v>12</v>
      </c>
      <c r="G68" t="s">
        <v>17</v>
      </c>
      <c r="H68">
        <f>30472*(1.01^10)</f>
        <v>33660.045405530233</v>
      </c>
      <c r="I68">
        <f>158668*(1.01^10)</f>
        <v>175268.18339474502</v>
      </c>
      <c r="J68" t="s">
        <v>304</v>
      </c>
      <c r="K68">
        <f t="shared" si="1"/>
        <v>228.82158780451331</v>
      </c>
    </row>
    <row r="69" spans="1:11" x14ac:dyDescent="0.2">
      <c r="A69" t="s">
        <v>0</v>
      </c>
      <c r="B69" t="s">
        <v>306</v>
      </c>
      <c r="C69" t="s">
        <v>307</v>
      </c>
      <c r="D69" t="s">
        <v>308</v>
      </c>
      <c r="E69" t="s">
        <v>253</v>
      </c>
      <c r="F69" t="s">
        <v>17</v>
      </c>
      <c r="G69" t="s">
        <v>12</v>
      </c>
      <c r="H69">
        <f>24115*(1.01^10)</f>
        <v>26637.962554291204</v>
      </c>
      <c r="I69">
        <f>129489*(1.01^10)</f>
        <v>143036.4143973715</v>
      </c>
      <c r="J69" t="s">
        <v>309</v>
      </c>
      <c r="K69">
        <f t="shared" si="1"/>
        <v>183.30951479863066</v>
      </c>
    </row>
    <row r="70" spans="1:11" x14ac:dyDescent="0.2">
      <c r="A70" t="s">
        <v>0</v>
      </c>
      <c r="B70" t="s">
        <v>306</v>
      </c>
      <c r="C70" t="s">
        <v>311</v>
      </c>
      <c r="D70" t="s">
        <v>312</v>
      </c>
      <c r="E70" t="s">
        <v>313</v>
      </c>
      <c r="F70" t="s">
        <v>24</v>
      </c>
      <c r="G70" t="s">
        <v>24</v>
      </c>
      <c r="H70">
        <f>7106*(1.01^10)</f>
        <v>7849.4448231720207</v>
      </c>
      <c r="I70">
        <f>35572*(1.01^10)</f>
        <v>39293.618245127378</v>
      </c>
      <c r="J70" t="s">
        <v>314</v>
      </c>
      <c r="K70">
        <f t="shared" si="1"/>
        <v>127.84648851513705</v>
      </c>
    </row>
    <row r="71" spans="1:11" x14ac:dyDescent="0.2">
      <c r="A71" t="s">
        <v>0</v>
      </c>
      <c r="B71" t="s">
        <v>306</v>
      </c>
      <c r="C71" t="s">
        <v>316</v>
      </c>
      <c r="D71" t="s">
        <v>317</v>
      </c>
      <c r="E71" t="s">
        <v>318</v>
      </c>
      <c r="F71" t="s">
        <v>24</v>
      </c>
      <c r="G71" t="s">
        <v>24</v>
      </c>
      <c r="H71">
        <f>9729*(1.01^10)</f>
        <v>10746.868658125612</v>
      </c>
      <c r="I71">
        <f>44087*(1.01^10)</f>
        <v>48699.475643003781</v>
      </c>
      <c r="J71" t="s">
        <v>319</v>
      </c>
      <c r="K71">
        <f t="shared" si="1"/>
        <v>157.84868288280754</v>
      </c>
    </row>
    <row r="72" spans="1:11" x14ac:dyDescent="0.2">
      <c r="A72" t="s">
        <v>0</v>
      </c>
      <c r="B72" t="s">
        <v>306</v>
      </c>
      <c r="C72" t="s">
        <v>321</v>
      </c>
      <c r="D72" t="s">
        <v>322</v>
      </c>
      <c r="E72" t="s">
        <v>103</v>
      </c>
      <c r="F72" t="s">
        <v>24</v>
      </c>
      <c r="G72" t="s">
        <v>24</v>
      </c>
      <c r="H72">
        <f>4259*(1.01^10)</f>
        <v>4704.5856321263209</v>
      </c>
      <c r="I72">
        <f>21548*(1.01^10)</f>
        <v>23802.397558360641</v>
      </c>
      <c r="J72" t="s">
        <v>323</v>
      </c>
      <c r="K72">
        <f t="shared" si="1"/>
        <v>95.934857758093742</v>
      </c>
    </row>
    <row r="73" spans="1:11" x14ac:dyDescent="0.2">
      <c r="A73" t="s">
        <v>0</v>
      </c>
      <c r="B73" t="s">
        <v>325</v>
      </c>
      <c r="C73" t="s">
        <v>326</v>
      </c>
      <c r="D73" t="s">
        <v>327</v>
      </c>
      <c r="E73" t="s">
        <v>328</v>
      </c>
      <c r="F73" t="s">
        <v>11</v>
      </c>
      <c r="G73" t="s">
        <v>11</v>
      </c>
      <c r="H73">
        <f>50555*(1.01^10)</f>
        <v>55844.171550163454</v>
      </c>
      <c r="I73">
        <f>275559*(1.01^10)</f>
        <v>304388.56825618615</v>
      </c>
      <c r="J73" t="s">
        <v>329</v>
      </c>
      <c r="K73">
        <f t="shared" si="1"/>
        <v>376.38778827538442</v>
      </c>
    </row>
    <row r="74" spans="1:11" x14ac:dyDescent="0.2">
      <c r="A74" t="s">
        <v>0</v>
      </c>
      <c r="B74" t="s">
        <v>325</v>
      </c>
      <c r="C74" t="s">
        <v>331</v>
      </c>
      <c r="D74" t="s">
        <v>332</v>
      </c>
      <c r="E74" t="s">
        <v>333</v>
      </c>
      <c r="F74" t="s">
        <v>12</v>
      </c>
      <c r="G74" t="s">
        <v>17</v>
      </c>
      <c r="H74">
        <f>11125*(1.01^10)</f>
        <v>12288.921145199653</v>
      </c>
      <c r="I74">
        <f>64753*(1.01^10)</f>
        <v>71527.596486751747</v>
      </c>
      <c r="J74" t="s">
        <v>334</v>
      </c>
      <c r="K74">
        <f t="shared" si="1"/>
        <v>229.16697580017859</v>
      </c>
    </row>
    <row r="75" spans="1:11" x14ac:dyDescent="0.2">
      <c r="A75" t="s">
        <v>0</v>
      </c>
      <c r="B75" t="s">
        <v>325</v>
      </c>
      <c r="C75" t="s">
        <v>335</v>
      </c>
      <c r="D75" t="s">
        <v>336</v>
      </c>
      <c r="E75" t="s">
        <v>337</v>
      </c>
      <c r="F75" t="s">
        <v>17</v>
      </c>
      <c r="G75" t="s">
        <v>12</v>
      </c>
      <c r="H75">
        <f>28317*(1.01^10)</f>
        <v>31279.584725269084</v>
      </c>
      <c r="I75">
        <f>167010*(1.01^10)</f>
        <v>184482.94116492532</v>
      </c>
      <c r="J75" t="s">
        <v>338</v>
      </c>
      <c r="K75">
        <f t="shared" si="1"/>
        <v>179.86929377948161</v>
      </c>
    </row>
    <row r="76" spans="1:11" x14ac:dyDescent="0.2">
      <c r="A76" t="s">
        <v>0</v>
      </c>
      <c r="B76" t="s">
        <v>325</v>
      </c>
      <c r="C76" t="s">
        <v>339</v>
      </c>
      <c r="D76" t="s">
        <v>340</v>
      </c>
      <c r="E76" t="s">
        <v>176</v>
      </c>
      <c r="F76" t="s">
        <v>24</v>
      </c>
      <c r="G76" t="s">
        <v>24</v>
      </c>
      <c r="H76">
        <f>9243*(1.01^10)</f>
        <v>10210.022305175766</v>
      </c>
      <c r="I76">
        <f>47663*(1.01^10)</f>
        <v>52649.604363474253</v>
      </c>
      <c r="J76" t="s">
        <v>341</v>
      </c>
      <c r="K76">
        <f t="shared" si="1"/>
        <v>223.70768796887296</v>
      </c>
    </row>
    <row r="77" spans="1:11" x14ac:dyDescent="0.2">
      <c r="A77" t="s">
        <v>0</v>
      </c>
      <c r="B77" t="s">
        <v>343</v>
      </c>
      <c r="C77" t="s">
        <v>344</v>
      </c>
      <c r="D77" t="s">
        <v>345</v>
      </c>
      <c r="E77" t="s">
        <v>264</v>
      </c>
      <c r="F77" t="s">
        <v>24</v>
      </c>
      <c r="G77" t="s">
        <v>24</v>
      </c>
      <c r="H77">
        <f>25782*(1.01^10)</f>
        <v>28479.367637351679</v>
      </c>
      <c r="I77">
        <f>147843*(1.01^10)</f>
        <v>163310.64888716873</v>
      </c>
      <c r="J77" t="s">
        <v>346</v>
      </c>
      <c r="K77">
        <f t="shared" si="1"/>
        <v>190.50305495085357</v>
      </c>
    </row>
    <row r="78" spans="1:11" x14ac:dyDescent="0.2">
      <c r="A78" t="s">
        <v>0</v>
      </c>
      <c r="B78" t="s">
        <v>343</v>
      </c>
      <c r="C78" t="s">
        <v>348</v>
      </c>
      <c r="D78" t="s">
        <v>349</v>
      </c>
      <c r="E78" t="s">
        <v>350</v>
      </c>
      <c r="F78" t="s">
        <v>17</v>
      </c>
      <c r="G78" t="s">
        <v>92</v>
      </c>
      <c r="H78">
        <f>30907*(1.01^10)</f>
        <v>34140.556030084103</v>
      </c>
      <c r="I78">
        <f>166824*(1.01^10)</f>
        <v>184277.48144959882</v>
      </c>
      <c r="J78" t="s">
        <v>351</v>
      </c>
      <c r="K78">
        <f t="shared" si="1"/>
        <v>213.89560601441485</v>
      </c>
    </row>
    <row r="79" spans="1:11" x14ac:dyDescent="0.2">
      <c r="A79" t="s">
        <v>0</v>
      </c>
      <c r="B79" t="s">
        <v>353</v>
      </c>
      <c r="C79" t="s">
        <v>354</v>
      </c>
      <c r="D79" t="s">
        <v>355</v>
      </c>
      <c r="E79" t="s">
        <v>305</v>
      </c>
      <c r="F79" t="s">
        <v>356</v>
      </c>
      <c r="G79" t="s">
        <v>11</v>
      </c>
      <c r="H79">
        <f>54133*(1.01^10)</f>
        <v>59796.509514884747</v>
      </c>
      <c r="I79">
        <f>250446*(1.01^10)</f>
        <v>276648.19282073458</v>
      </c>
      <c r="J79" t="s">
        <v>357</v>
      </c>
      <c r="K79">
        <f t="shared" si="1"/>
        <v>285.35141085171176</v>
      </c>
    </row>
    <row r="80" spans="1:11" x14ac:dyDescent="0.2">
      <c r="A80" t="s">
        <v>0</v>
      </c>
      <c r="B80" t="s">
        <v>353</v>
      </c>
      <c r="C80" t="s">
        <v>359</v>
      </c>
      <c r="D80" t="s">
        <v>360</v>
      </c>
      <c r="E80" t="s">
        <v>361</v>
      </c>
      <c r="F80" t="s">
        <v>108</v>
      </c>
      <c r="G80" t="s">
        <v>108</v>
      </c>
      <c r="H80">
        <f>195906*(1.01^10)</f>
        <v>216402.10210080747</v>
      </c>
      <c r="I80">
        <f>970335*(1.01^10)</f>
        <v>1071853.5100608813</v>
      </c>
      <c r="J80" t="s">
        <v>362</v>
      </c>
      <c r="K80">
        <f t="shared" si="1"/>
        <v>1001.9944565502012</v>
      </c>
    </row>
    <row r="81" spans="1:11" x14ac:dyDescent="0.2">
      <c r="A81" t="s">
        <v>0</v>
      </c>
      <c r="B81" t="s">
        <v>353</v>
      </c>
      <c r="C81" t="s">
        <v>363</v>
      </c>
      <c r="D81" t="s">
        <v>364</v>
      </c>
      <c r="E81" t="s">
        <v>151</v>
      </c>
      <c r="F81" t="s">
        <v>313</v>
      </c>
      <c r="G81" t="s">
        <v>5</v>
      </c>
      <c r="H81">
        <f>41528*(1.01^10)</f>
        <v>45872.74762407651</v>
      </c>
      <c r="I81">
        <f>197739*(1.01^10)</f>
        <v>218426.87445668623</v>
      </c>
      <c r="J81" t="s">
        <v>365</v>
      </c>
      <c r="K81">
        <f t="shared" si="1"/>
        <v>890.59314383383446</v>
      </c>
    </row>
    <row r="82" spans="1:11" x14ac:dyDescent="0.2">
      <c r="A82" t="s">
        <v>0</v>
      </c>
      <c r="B82" t="s">
        <v>353</v>
      </c>
      <c r="C82" t="s">
        <v>366</v>
      </c>
      <c r="D82" t="s">
        <v>367</v>
      </c>
      <c r="E82" t="s">
        <v>368</v>
      </c>
      <c r="F82" t="s">
        <v>274</v>
      </c>
      <c r="G82" t="s">
        <v>17</v>
      </c>
      <c r="H82">
        <f>22632*(1.01^10)</f>
        <v>24999.807942306386</v>
      </c>
      <c r="I82">
        <f>111438*(1.01^10)</f>
        <v>123096.88041157383</v>
      </c>
      <c r="J82" t="s">
        <v>369</v>
      </c>
      <c r="K82">
        <f t="shared" si="1"/>
        <v>778.20761418367567</v>
      </c>
    </row>
    <row r="83" spans="1:11" x14ac:dyDescent="0.2">
      <c r="A83" t="s">
        <v>0</v>
      </c>
      <c r="B83" t="s">
        <v>370</v>
      </c>
      <c r="C83" t="s">
        <v>371</v>
      </c>
      <c r="D83" t="s">
        <v>372</v>
      </c>
      <c r="E83" t="s">
        <v>373</v>
      </c>
      <c r="F83" t="s">
        <v>374</v>
      </c>
      <c r="G83" t="s">
        <v>158</v>
      </c>
      <c r="H83">
        <f>65385*(1.01^10)</f>
        <v>72225.717670011625</v>
      </c>
      <c r="I83">
        <f>318898*(1.01^10)</f>
        <v>352261.78654938238</v>
      </c>
      <c r="J83" t="s">
        <v>375</v>
      </c>
      <c r="K83">
        <f t="shared" si="1"/>
        <v>389.82104415357981</v>
      </c>
    </row>
    <row r="84" spans="1:11" x14ac:dyDescent="0.2">
      <c r="A84" t="s">
        <v>377</v>
      </c>
      <c r="B84" t="s">
        <v>378</v>
      </c>
      <c r="C84" t="s">
        <v>379</v>
      </c>
      <c r="D84" t="s">
        <v>380</v>
      </c>
      <c r="E84" t="s">
        <v>51</v>
      </c>
      <c r="F84" t="s">
        <v>333</v>
      </c>
      <c r="G84" t="s">
        <v>24</v>
      </c>
      <c r="H84">
        <f>3952*(1.01^10)</f>
        <v>4365.4666396250814</v>
      </c>
      <c r="I84">
        <f>18868*(1.01^10)</f>
        <v>20842.010262258613</v>
      </c>
      <c r="J84" t="s">
        <v>381</v>
      </c>
      <c r="K84">
        <f t="shared" si="1"/>
        <v>13.75296982646452</v>
      </c>
    </row>
    <row r="85" spans="1:11" x14ac:dyDescent="0.2">
      <c r="A85" t="s">
        <v>377</v>
      </c>
      <c r="B85" t="s">
        <v>378</v>
      </c>
      <c r="C85" t="s">
        <v>383</v>
      </c>
      <c r="D85" t="s">
        <v>384</v>
      </c>
      <c r="E85" t="s">
        <v>385</v>
      </c>
      <c r="F85" t="s">
        <v>386</v>
      </c>
      <c r="G85" t="s">
        <v>24</v>
      </c>
      <c r="H85">
        <f>14142*(1.01^10)</f>
        <v>15621.566097565257</v>
      </c>
      <c r="I85">
        <f>78988*(1.01^10)</f>
        <v>87251.892441980235</v>
      </c>
      <c r="J85" t="s">
        <v>387</v>
      </c>
      <c r="K85">
        <f t="shared" si="1"/>
        <v>74.90110704388465</v>
      </c>
    </row>
    <row r="86" spans="1:11" x14ac:dyDescent="0.2">
      <c r="A86" t="s">
        <v>377</v>
      </c>
      <c r="B86" t="s">
        <v>378</v>
      </c>
      <c r="C86" t="s">
        <v>388</v>
      </c>
      <c r="D86" t="s">
        <v>389</v>
      </c>
      <c r="E86" t="s">
        <v>390</v>
      </c>
      <c r="F86" t="s">
        <v>333</v>
      </c>
      <c r="G86" t="s">
        <v>24</v>
      </c>
      <c r="H86">
        <f>8815*(1.01^10)</f>
        <v>9737.2440354997707</v>
      </c>
      <c r="I86">
        <f>47939*(1.01^10)</f>
        <v>52954.480070087746</v>
      </c>
      <c r="J86" t="s">
        <v>391</v>
      </c>
      <c r="K86">
        <f t="shared" si="1"/>
        <v>146.27305195588573</v>
      </c>
    </row>
    <row r="87" spans="1:11" x14ac:dyDescent="0.2">
      <c r="A87" t="s">
        <v>377</v>
      </c>
      <c r="B87" t="s">
        <v>378</v>
      </c>
      <c r="C87" t="s">
        <v>392</v>
      </c>
      <c r="D87" t="s">
        <v>393</v>
      </c>
      <c r="E87" t="s">
        <v>394</v>
      </c>
      <c r="F87" t="s">
        <v>17</v>
      </c>
      <c r="G87" t="s">
        <v>24</v>
      </c>
      <c r="H87">
        <f>4774*(1.01^10)</f>
        <v>5273.4660267130912</v>
      </c>
      <c r="I87">
        <f>25326*(1.01^10)</f>
        <v>27975.659948164172</v>
      </c>
      <c r="J87" t="s">
        <v>395</v>
      </c>
      <c r="K87">
        <f t="shared" si="1"/>
        <v>209.94575074931529</v>
      </c>
    </row>
    <row r="88" spans="1:11" x14ac:dyDescent="0.2">
      <c r="A88" t="s">
        <v>377</v>
      </c>
      <c r="B88" t="s">
        <v>378</v>
      </c>
      <c r="C88" t="s">
        <v>397</v>
      </c>
      <c r="D88" t="s">
        <v>398</v>
      </c>
      <c r="E88" t="s">
        <v>399</v>
      </c>
      <c r="F88" t="s">
        <v>6</v>
      </c>
      <c r="G88" t="s">
        <v>17</v>
      </c>
      <c r="H88">
        <f>9514*(1.01^10)</f>
        <v>10509.374901162202</v>
      </c>
      <c r="I88">
        <f>46760*(1.01^10)</f>
        <v>51652.130584227933</v>
      </c>
      <c r="J88" t="s">
        <v>400</v>
      </c>
      <c r="K88">
        <f t="shared" si="1"/>
        <v>322.91189736474024</v>
      </c>
    </row>
    <row r="89" spans="1:11" x14ac:dyDescent="0.2">
      <c r="A89" t="s">
        <v>377</v>
      </c>
      <c r="B89" t="s">
        <v>378</v>
      </c>
      <c r="C89" t="s">
        <v>402</v>
      </c>
      <c r="D89" t="s">
        <v>403</v>
      </c>
      <c r="E89" t="s">
        <v>404</v>
      </c>
      <c r="F89" t="s">
        <v>405</v>
      </c>
      <c r="G89" t="s">
        <v>17</v>
      </c>
      <c r="H89">
        <f>8897*(1.01^10)</f>
        <v>9827.8230497834884</v>
      </c>
      <c r="I89">
        <f>42967*(1.01^10)</f>
        <v>47462.298862543234</v>
      </c>
      <c r="J89" t="s">
        <v>406</v>
      </c>
      <c r="K89">
        <f t="shared" si="1"/>
        <v>190.70064199205768</v>
      </c>
    </row>
    <row r="90" spans="1:11" x14ac:dyDescent="0.2">
      <c r="A90" t="s">
        <v>377</v>
      </c>
      <c r="B90" t="s">
        <v>378</v>
      </c>
      <c r="C90" t="s">
        <v>408</v>
      </c>
      <c r="D90" t="s">
        <v>409</v>
      </c>
      <c r="E90" t="s">
        <v>410</v>
      </c>
      <c r="F90" t="s">
        <v>411</v>
      </c>
      <c r="G90" t="s">
        <v>24</v>
      </c>
      <c r="H90">
        <f>8297*(1.01^10)</f>
        <v>9165.0497745367666</v>
      </c>
      <c r="I90">
        <f>39871*(1.01^10)</f>
        <v>44042.388762270144</v>
      </c>
      <c r="J90" t="s">
        <v>412</v>
      </c>
      <c r="K90">
        <f t="shared" si="1"/>
        <v>166.70954347888681</v>
      </c>
    </row>
    <row r="91" spans="1:11" x14ac:dyDescent="0.2">
      <c r="A91" t="s">
        <v>377</v>
      </c>
      <c r="B91" t="s">
        <v>378</v>
      </c>
      <c r="C91" t="s">
        <v>414</v>
      </c>
      <c r="D91" t="s">
        <v>415</v>
      </c>
      <c r="E91" t="s">
        <v>416</v>
      </c>
      <c r="F91" t="s">
        <v>232</v>
      </c>
      <c r="G91" t="s">
        <v>12</v>
      </c>
      <c r="H91">
        <f>35900*(1.01^10)</f>
        <v>39655.934302262249</v>
      </c>
      <c r="I91">
        <f>179253*(1.01^10)</f>
        <v>198006.82984633467</v>
      </c>
      <c r="J91" t="s">
        <v>417</v>
      </c>
      <c r="K91">
        <f t="shared" si="1"/>
        <v>195.60535460985429</v>
      </c>
    </row>
    <row r="92" spans="1:11" x14ac:dyDescent="0.2">
      <c r="A92" t="s">
        <v>377</v>
      </c>
      <c r="B92" t="s">
        <v>378</v>
      </c>
      <c r="C92" t="s">
        <v>419</v>
      </c>
      <c r="D92" t="s">
        <v>420</v>
      </c>
      <c r="E92" t="s">
        <v>333</v>
      </c>
      <c r="F92" t="s">
        <v>172</v>
      </c>
      <c r="G92" t="s">
        <v>24</v>
      </c>
      <c r="H92">
        <f>3027*(1.01^10)</f>
        <v>3343.6911736197167</v>
      </c>
      <c r="I92">
        <f>14094*(1.01^10)</f>
        <v>15568.54423554552</v>
      </c>
      <c r="J92" t="s">
        <v>421</v>
      </c>
      <c r="K92">
        <f t="shared" si="1"/>
        <v>21.741753299169247</v>
      </c>
    </row>
    <row r="93" spans="1:11" x14ac:dyDescent="0.2">
      <c r="A93" t="s">
        <v>377</v>
      </c>
      <c r="B93" t="s">
        <v>378</v>
      </c>
      <c r="C93" t="s">
        <v>423</v>
      </c>
      <c r="D93" t="s">
        <v>424</v>
      </c>
      <c r="E93" t="s">
        <v>180</v>
      </c>
      <c r="F93" t="s">
        <v>425</v>
      </c>
      <c r="G93" t="s">
        <v>24</v>
      </c>
      <c r="H93">
        <f>5142*(1.01^10)</f>
        <v>5679.9669688644144</v>
      </c>
      <c r="I93">
        <f>25014*(1.01^10)</f>
        <v>27631.017845035876</v>
      </c>
      <c r="J93" t="s">
        <v>426</v>
      </c>
      <c r="K93">
        <f t="shared" si="1"/>
        <v>29.238764330440336</v>
      </c>
    </row>
    <row r="94" spans="1:11" x14ac:dyDescent="0.2">
      <c r="A94" t="s">
        <v>377</v>
      </c>
      <c r="B94" t="s">
        <v>428</v>
      </c>
      <c r="C94" t="s">
        <v>429</v>
      </c>
      <c r="D94" t="s">
        <v>430</v>
      </c>
      <c r="E94" t="s">
        <v>431</v>
      </c>
      <c r="F94" t="s">
        <v>313</v>
      </c>
      <c r="G94" t="s">
        <v>12</v>
      </c>
      <c r="H94">
        <f>37267*(1.01^10)</f>
        <v>41165.952747699368</v>
      </c>
      <c r="I94">
        <f>176525*(1.01^10)</f>
        <v>194993.42068821291</v>
      </c>
      <c r="J94" t="s">
        <v>432</v>
      </c>
      <c r="K94">
        <f t="shared" si="1"/>
        <v>360.81683508794765</v>
      </c>
    </row>
    <row r="95" spans="1:11" x14ac:dyDescent="0.2">
      <c r="A95" t="s">
        <v>377</v>
      </c>
      <c r="B95" t="s">
        <v>428</v>
      </c>
      <c r="C95" t="s">
        <v>434</v>
      </c>
      <c r="D95" t="s">
        <v>435</v>
      </c>
      <c r="E95" t="s">
        <v>436</v>
      </c>
      <c r="F95" t="s">
        <v>5</v>
      </c>
      <c r="G95" t="s">
        <v>12</v>
      </c>
      <c r="H95">
        <f>16720*(1.01^10)</f>
        <v>18469.281936875344</v>
      </c>
      <c r="I95">
        <f>81226*(1.01^10)</f>
        <v>89724.036758650516</v>
      </c>
      <c r="J95" t="s">
        <v>437</v>
      </c>
      <c r="K95">
        <f t="shared" si="1"/>
        <v>300.95692461067347</v>
      </c>
    </row>
    <row r="96" spans="1:11" x14ac:dyDescent="0.2">
      <c r="A96" t="s">
        <v>377</v>
      </c>
      <c r="B96" t="s">
        <v>428</v>
      </c>
      <c r="C96" t="s">
        <v>439</v>
      </c>
      <c r="D96" t="s">
        <v>440</v>
      </c>
      <c r="E96" t="s">
        <v>139</v>
      </c>
      <c r="F96" t="s">
        <v>356</v>
      </c>
      <c r="G96" t="s">
        <v>24</v>
      </c>
      <c r="H96">
        <f>13185*(1.01^10)</f>
        <v>14564.442723546734</v>
      </c>
      <c r="I96">
        <f>62041*(1.01^10)</f>
        <v>68531.861282636557</v>
      </c>
      <c r="J96" t="s">
        <v>441</v>
      </c>
      <c r="K96">
        <f t="shared" si="1"/>
        <v>223.96925088735273</v>
      </c>
    </row>
    <row r="97" spans="1:11" x14ac:dyDescent="0.2">
      <c r="A97" t="s">
        <v>377</v>
      </c>
      <c r="B97" t="s">
        <v>428</v>
      </c>
      <c r="C97" t="s">
        <v>442</v>
      </c>
      <c r="D97" t="s">
        <v>443</v>
      </c>
      <c r="E97" t="s">
        <v>444</v>
      </c>
      <c r="F97" t="s">
        <v>445</v>
      </c>
      <c r="G97" t="s">
        <v>24</v>
      </c>
      <c r="H97">
        <f>24532*(1.01^10)</f>
        <v>27098.589980587676</v>
      </c>
      <c r="I97">
        <f>112746*(1.01^10)</f>
        <v>124541.72615161169</v>
      </c>
      <c r="J97" t="s">
        <v>446</v>
      </c>
      <c r="K97">
        <f t="shared" si="1"/>
        <v>421.25839536537973</v>
      </c>
    </row>
    <row r="98" spans="1:11" x14ac:dyDescent="0.2">
      <c r="A98" t="s">
        <v>377</v>
      </c>
      <c r="B98" t="s">
        <v>428</v>
      </c>
      <c r="C98" t="s">
        <v>448</v>
      </c>
      <c r="D98" t="s">
        <v>449</v>
      </c>
      <c r="E98" t="s">
        <v>51</v>
      </c>
      <c r="F98" t="s">
        <v>17</v>
      </c>
      <c r="G98" t="s">
        <v>24</v>
      </c>
      <c r="H98">
        <f>3125*(1.01^10)</f>
        <v>3451.9441419100149</v>
      </c>
      <c r="I98">
        <f>13841*(1.01^10)</f>
        <v>15289.074837816484</v>
      </c>
      <c r="J98" t="s">
        <v>450</v>
      </c>
      <c r="K98">
        <f t="shared" si="1"/>
        <v>211.80287076920095</v>
      </c>
    </row>
    <row r="99" spans="1:11" x14ac:dyDescent="0.2">
      <c r="A99" t="s">
        <v>377</v>
      </c>
      <c r="B99" t="s">
        <v>428</v>
      </c>
      <c r="C99" t="s">
        <v>451</v>
      </c>
      <c r="D99" t="s">
        <v>452</v>
      </c>
      <c r="E99" t="s">
        <v>453</v>
      </c>
      <c r="F99" t="s">
        <v>152</v>
      </c>
      <c r="G99" t="s">
        <v>24</v>
      </c>
      <c r="H99">
        <f>15082*(1.01^10)</f>
        <v>16659.910895451791</v>
      </c>
      <c r="I99">
        <f>67758*(1.01^10)</f>
        <v>74846.985973612405</v>
      </c>
      <c r="J99" t="s">
        <v>454</v>
      </c>
      <c r="K99">
        <f t="shared" si="1"/>
        <v>305.98900790530263</v>
      </c>
    </row>
    <row r="100" spans="1:11" x14ac:dyDescent="0.2">
      <c r="A100" t="s">
        <v>377</v>
      </c>
      <c r="B100" t="s">
        <v>428</v>
      </c>
      <c r="C100" t="s">
        <v>456</v>
      </c>
      <c r="D100" t="s">
        <v>457</v>
      </c>
      <c r="E100" t="s">
        <v>413</v>
      </c>
      <c r="F100" t="s">
        <v>458</v>
      </c>
      <c r="G100" t="s">
        <v>17</v>
      </c>
      <c r="H100">
        <f>31328*(1.01^10)</f>
        <v>34605.601944882219</v>
      </c>
      <c r="I100">
        <f>136536*(1.01^10)</f>
        <v>150820.68651514425</v>
      </c>
      <c r="J100" t="s">
        <v>459</v>
      </c>
      <c r="K100">
        <f t="shared" si="1"/>
        <v>446.65505553803808</v>
      </c>
    </row>
    <row r="101" spans="1:11" x14ac:dyDescent="0.2">
      <c r="A101" t="s">
        <v>377</v>
      </c>
      <c r="B101" t="s">
        <v>428</v>
      </c>
      <c r="C101" t="s">
        <v>461</v>
      </c>
      <c r="D101" t="s">
        <v>462</v>
      </c>
      <c r="E101" t="s">
        <v>269</v>
      </c>
      <c r="F101" t="s">
        <v>318</v>
      </c>
      <c r="G101" t="s">
        <v>12</v>
      </c>
      <c r="H101">
        <f>21432*(1.01^10)</f>
        <v>23674.261391812939</v>
      </c>
      <c r="I101">
        <f>97568*(1.01^10)</f>
        <v>107775.77153212043</v>
      </c>
      <c r="J101" t="s">
        <v>463</v>
      </c>
      <c r="K101">
        <f t="shared" si="1"/>
        <v>596.67724127346094</v>
      </c>
    </row>
    <row r="102" spans="1:11" x14ac:dyDescent="0.2">
      <c r="A102" t="s">
        <v>377</v>
      </c>
      <c r="B102" t="s">
        <v>428</v>
      </c>
      <c r="C102" t="s">
        <v>465</v>
      </c>
      <c r="D102" t="s">
        <v>466</v>
      </c>
      <c r="E102" t="s">
        <v>467</v>
      </c>
      <c r="F102" t="s">
        <v>445</v>
      </c>
      <c r="G102" t="s">
        <v>12</v>
      </c>
      <c r="H102">
        <f>17068*(1.01^10)</f>
        <v>18853.690436518442</v>
      </c>
      <c r="I102">
        <f>76899*(1.01^10)</f>
        <v>84944.336821996229</v>
      </c>
      <c r="J102" t="s">
        <v>468</v>
      </c>
      <c r="K102">
        <f t="shared" si="1"/>
        <v>893.98841240782554</v>
      </c>
    </row>
    <row r="103" spans="1:11" x14ac:dyDescent="0.2">
      <c r="A103" t="s">
        <v>377</v>
      </c>
      <c r="B103" t="s">
        <v>428</v>
      </c>
      <c r="C103" t="s">
        <v>470</v>
      </c>
      <c r="D103" t="s">
        <v>471</v>
      </c>
      <c r="E103" t="s">
        <v>269</v>
      </c>
      <c r="F103" t="s">
        <v>152</v>
      </c>
      <c r="G103" t="s">
        <v>24</v>
      </c>
      <c r="H103">
        <f>5725*(1.01^10)</f>
        <v>6323.961667979147</v>
      </c>
      <c r="I103">
        <f>25789*(1.01^10)</f>
        <v>28487.09999222956</v>
      </c>
      <c r="J103" t="s">
        <v>472</v>
      </c>
      <c r="K103">
        <f t="shared" si="1"/>
        <v>212.59897690218153</v>
      </c>
    </row>
    <row r="104" spans="1:11" x14ac:dyDescent="0.2">
      <c r="A104" t="s">
        <v>377</v>
      </c>
      <c r="B104" t="s">
        <v>428</v>
      </c>
      <c r="C104" t="s">
        <v>473</v>
      </c>
      <c r="D104" t="s">
        <v>474</v>
      </c>
      <c r="E104" t="s">
        <v>475</v>
      </c>
      <c r="F104" t="s">
        <v>61</v>
      </c>
      <c r="G104" t="s">
        <v>12</v>
      </c>
      <c r="H104">
        <f>27654*(1.01^10)</f>
        <v>30547.220256121454</v>
      </c>
      <c r="I104">
        <f>120783*(1.01^10)</f>
        <v>133419.57417354154</v>
      </c>
      <c r="J104" t="s">
        <v>476</v>
      </c>
      <c r="K104">
        <f t="shared" si="1"/>
        <v>218.49124429801097</v>
      </c>
    </row>
    <row r="105" spans="1:11" x14ac:dyDescent="0.2">
      <c r="A105" t="s">
        <v>377</v>
      </c>
      <c r="B105" t="s">
        <v>428</v>
      </c>
      <c r="C105" t="s">
        <v>477</v>
      </c>
      <c r="D105" t="s">
        <v>478</v>
      </c>
      <c r="E105" t="s">
        <v>479</v>
      </c>
      <c r="F105" t="s">
        <v>382</v>
      </c>
      <c r="G105" t="s">
        <v>12</v>
      </c>
      <c r="H105">
        <f>9740*(1.01^10)</f>
        <v>10759.019501505134</v>
      </c>
      <c r="I105">
        <f>43504*(1.01^10)</f>
        <v>48055.480943889052</v>
      </c>
      <c r="J105" t="s">
        <v>480</v>
      </c>
      <c r="K105">
        <f t="shared" si="1"/>
        <v>463.76650698597399</v>
      </c>
    </row>
    <row r="106" spans="1:11" x14ac:dyDescent="0.2">
      <c r="A106" t="s">
        <v>377</v>
      </c>
      <c r="B106" t="s">
        <v>428</v>
      </c>
      <c r="C106" t="s">
        <v>482</v>
      </c>
      <c r="D106" t="s">
        <v>483</v>
      </c>
      <c r="E106" t="s">
        <v>484</v>
      </c>
      <c r="F106" t="s">
        <v>318</v>
      </c>
      <c r="G106" t="s">
        <v>24</v>
      </c>
      <c r="H106">
        <f>7486*(1.01^10)</f>
        <v>8269.2012308282792</v>
      </c>
      <c r="I106">
        <f>32520*(1.01^10)</f>
        <v>35922.311518372378</v>
      </c>
      <c r="J106" t="s">
        <v>485</v>
      </c>
      <c r="K106">
        <f t="shared" si="1"/>
        <v>198.38353335591577</v>
      </c>
    </row>
    <row r="107" spans="1:11" x14ac:dyDescent="0.2">
      <c r="A107" t="s">
        <v>377</v>
      </c>
      <c r="B107" t="s">
        <v>428</v>
      </c>
      <c r="C107" t="s">
        <v>487</v>
      </c>
      <c r="D107" t="s">
        <v>488</v>
      </c>
      <c r="E107" t="s">
        <v>489</v>
      </c>
      <c r="F107" t="s">
        <v>458</v>
      </c>
      <c r="G107" t="s">
        <v>24</v>
      </c>
      <c r="H107">
        <f>6765*(1.01^10)</f>
        <v>7472.7686784068001</v>
      </c>
      <c r="I107">
        <f>29503*(1.01^10)</f>
        <v>32589.666566006774</v>
      </c>
      <c r="J107" t="s">
        <v>490</v>
      </c>
      <c r="K107">
        <f t="shared" si="1"/>
        <v>284.66192407075425</v>
      </c>
    </row>
    <row r="108" spans="1:11" x14ac:dyDescent="0.2">
      <c r="A108" t="s">
        <v>377</v>
      </c>
      <c r="B108" t="s">
        <v>428</v>
      </c>
      <c r="C108" t="s">
        <v>491</v>
      </c>
      <c r="D108" t="s">
        <v>492</v>
      </c>
      <c r="E108" t="s">
        <v>493</v>
      </c>
      <c r="F108" t="s">
        <v>458</v>
      </c>
      <c r="G108" t="s">
        <v>24</v>
      </c>
      <c r="H108">
        <f>8268*(1.01^10)</f>
        <v>9133.0157328998412</v>
      </c>
      <c r="I108">
        <f>38231*(1.01^10)</f>
        <v>42230.808476595768</v>
      </c>
      <c r="J108" t="s">
        <v>494</v>
      </c>
      <c r="K108">
        <f t="shared" si="1"/>
        <v>221.44310707313588</v>
      </c>
    </row>
    <row r="109" spans="1:11" x14ac:dyDescent="0.2">
      <c r="A109" t="s">
        <v>377</v>
      </c>
      <c r="B109" t="s">
        <v>428</v>
      </c>
      <c r="C109" t="s">
        <v>496</v>
      </c>
      <c r="D109" t="s">
        <v>497</v>
      </c>
      <c r="E109" t="s">
        <v>498</v>
      </c>
      <c r="F109" t="s">
        <v>6</v>
      </c>
      <c r="G109" t="s">
        <v>24</v>
      </c>
      <c r="H109">
        <f>4658*(1.01^10)</f>
        <v>5145.3298601653914</v>
      </c>
      <c r="I109">
        <f>19287*(1.01^10)</f>
        <v>21304.846932805907</v>
      </c>
      <c r="J109" t="s">
        <v>499</v>
      </c>
      <c r="K109">
        <f t="shared" si="1"/>
        <v>369.3561056623729</v>
      </c>
    </row>
    <row r="110" spans="1:11" x14ac:dyDescent="0.2">
      <c r="A110" t="s">
        <v>377</v>
      </c>
      <c r="B110" t="s">
        <v>428</v>
      </c>
      <c r="C110" t="s">
        <v>501</v>
      </c>
      <c r="D110" t="s">
        <v>502</v>
      </c>
      <c r="E110" t="s">
        <v>503</v>
      </c>
      <c r="F110" t="s">
        <v>17</v>
      </c>
      <c r="G110" t="s">
        <v>24</v>
      </c>
      <c r="H110">
        <f>5298*(1.01^10)</f>
        <v>5852.288020428563</v>
      </c>
      <c r="I110">
        <f>22119*(1.01^10)</f>
        <v>24433.136791970439</v>
      </c>
      <c r="J110" t="s">
        <v>504</v>
      </c>
      <c r="K110">
        <f t="shared" si="1"/>
        <v>300.9539199960405</v>
      </c>
    </row>
    <row r="111" spans="1:11" x14ac:dyDescent="0.2">
      <c r="A111" t="s">
        <v>377</v>
      </c>
      <c r="B111" t="s">
        <v>428</v>
      </c>
      <c r="C111" t="s">
        <v>505</v>
      </c>
      <c r="D111" t="s">
        <v>506</v>
      </c>
      <c r="E111" t="s">
        <v>507</v>
      </c>
      <c r="F111" t="s">
        <v>5</v>
      </c>
      <c r="G111" t="s">
        <v>24</v>
      </c>
      <c r="H111">
        <f>15393*(1.01^10)</f>
        <v>17003.448376454675</v>
      </c>
      <c r="I111">
        <f>61082*(1.01^10)</f>
        <v>67472.528664367215</v>
      </c>
      <c r="J111" t="s">
        <v>508</v>
      </c>
      <c r="K111">
        <f t="shared" si="1"/>
        <v>353.25403682285446</v>
      </c>
    </row>
    <row r="112" spans="1:11" x14ac:dyDescent="0.2">
      <c r="A112" t="s">
        <v>377</v>
      </c>
      <c r="B112" t="s">
        <v>428</v>
      </c>
      <c r="C112" t="s">
        <v>509</v>
      </c>
      <c r="D112" t="s">
        <v>510</v>
      </c>
      <c r="E112" t="s">
        <v>511</v>
      </c>
      <c r="F112" t="s">
        <v>318</v>
      </c>
      <c r="G112" t="s">
        <v>12</v>
      </c>
      <c r="H112">
        <f>44501*(1.01^10)</f>
        <v>49156.789202924025</v>
      </c>
      <c r="I112">
        <f>189276*(1.01^10)</f>
        <v>209078.4574093312</v>
      </c>
      <c r="J112" t="s">
        <v>512</v>
      </c>
      <c r="K112">
        <f t="shared" si="1"/>
        <v>487.03303119117999</v>
      </c>
    </row>
    <row r="113" spans="1:11" x14ac:dyDescent="0.2">
      <c r="A113" t="s">
        <v>377</v>
      </c>
      <c r="B113" t="s">
        <v>428</v>
      </c>
      <c r="C113" t="s">
        <v>514</v>
      </c>
      <c r="D113" t="s">
        <v>515</v>
      </c>
      <c r="E113" t="s">
        <v>495</v>
      </c>
      <c r="F113" t="s">
        <v>5</v>
      </c>
      <c r="G113" t="s">
        <v>24</v>
      </c>
      <c r="H113">
        <f>22112*(1.01^10)</f>
        <v>24425.404437092559</v>
      </c>
      <c r="I113">
        <f>95229*(1.01^10)</f>
        <v>105192.06038078362</v>
      </c>
      <c r="J113" t="s">
        <v>516</v>
      </c>
      <c r="K113">
        <f t="shared" si="1"/>
        <v>355.3309947801659</v>
      </c>
    </row>
    <row r="114" spans="1:11" x14ac:dyDescent="0.2">
      <c r="A114" t="s">
        <v>377</v>
      </c>
      <c r="B114" t="s">
        <v>428</v>
      </c>
      <c r="C114" t="s">
        <v>518</v>
      </c>
      <c r="D114" t="s">
        <v>519</v>
      </c>
      <c r="E114" t="s">
        <v>520</v>
      </c>
      <c r="F114" t="s">
        <v>274</v>
      </c>
      <c r="G114" t="s">
        <v>24</v>
      </c>
      <c r="H114">
        <f>1548*(1.01^10)</f>
        <v>1709.955050136545</v>
      </c>
      <c r="I114">
        <f>7612*(1.01^10)</f>
        <v>8408.3836186300905</v>
      </c>
      <c r="J114" t="s">
        <v>521</v>
      </c>
      <c r="K114">
        <f t="shared" si="1"/>
        <v>8.5887655848417062</v>
      </c>
    </row>
    <row r="115" spans="1:11" x14ac:dyDescent="0.2">
      <c r="A115" t="s">
        <v>377</v>
      </c>
      <c r="B115" t="s">
        <v>522</v>
      </c>
      <c r="C115" t="s">
        <v>523</v>
      </c>
      <c r="D115" t="s">
        <v>524</v>
      </c>
      <c r="E115" t="s">
        <v>232</v>
      </c>
      <c r="F115" t="s">
        <v>498</v>
      </c>
      <c r="G115" t="s">
        <v>24</v>
      </c>
      <c r="H115">
        <f>1869*(1.01^10)</f>
        <v>2064.5387523935415</v>
      </c>
      <c r="I115">
        <f>8889*(1.01^10)</f>
        <v>9818.9860727801988</v>
      </c>
      <c r="J115" t="s">
        <v>525</v>
      </c>
      <c r="K115">
        <f t="shared" si="1"/>
        <v>5.4594061701856571</v>
      </c>
    </row>
    <row r="116" spans="1:11" x14ac:dyDescent="0.2">
      <c r="A116" t="s">
        <v>377</v>
      </c>
      <c r="B116" t="s">
        <v>522</v>
      </c>
      <c r="C116" t="s">
        <v>526</v>
      </c>
      <c r="D116" t="s">
        <v>527</v>
      </c>
      <c r="E116" t="s">
        <v>390</v>
      </c>
      <c r="F116" t="s">
        <v>152</v>
      </c>
      <c r="G116" t="s">
        <v>24</v>
      </c>
      <c r="H116">
        <f>2222*(1.01^10)</f>
        <v>2454.470362663697</v>
      </c>
      <c r="I116">
        <f>10218*(1.01^10)</f>
        <v>11287.02887745169</v>
      </c>
      <c r="J116" t="s">
        <v>528</v>
      </c>
      <c r="K116">
        <f t="shared" si="1"/>
        <v>2.2923491125571629</v>
      </c>
    </row>
    <row r="117" spans="1:11" x14ac:dyDescent="0.2">
      <c r="A117" t="s">
        <v>377</v>
      </c>
      <c r="B117" t="s">
        <v>522</v>
      </c>
      <c r="C117" t="s">
        <v>529</v>
      </c>
      <c r="D117" t="s">
        <v>530</v>
      </c>
      <c r="E117" t="s">
        <v>253</v>
      </c>
      <c r="F117" t="s">
        <v>328</v>
      </c>
      <c r="G117" t="s">
        <v>24</v>
      </c>
      <c r="H117">
        <f>2583*(1.01^10)</f>
        <v>2853.238949937142</v>
      </c>
      <c r="I117">
        <f>12457*(1.01^10)</f>
        <v>13760.277816247377</v>
      </c>
      <c r="J117" t="s">
        <v>531</v>
      </c>
      <c r="K117">
        <f t="shared" si="1"/>
        <v>1.9329820505957394</v>
      </c>
    </row>
    <row r="118" spans="1:11" x14ac:dyDescent="0.2">
      <c r="A118" t="s">
        <v>377</v>
      </c>
      <c r="B118" t="s">
        <v>532</v>
      </c>
      <c r="C118" t="s">
        <v>533</v>
      </c>
      <c r="D118" t="s">
        <v>534</v>
      </c>
      <c r="E118" t="s">
        <v>535</v>
      </c>
      <c r="F118" t="s">
        <v>92</v>
      </c>
      <c r="G118" t="s">
        <v>12</v>
      </c>
      <c r="H118">
        <f>12450*(1.01^10)</f>
        <v>13752.545461369498</v>
      </c>
      <c r="I118">
        <f>51661*(1.01^10)</f>
        <v>57065.883620868248</v>
      </c>
      <c r="J118" t="s">
        <v>536</v>
      </c>
      <c r="K118">
        <f t="shared" si="1"/>
        <v>75.912521265939006</v>
      </c>
    </row>
    <row r="119" spans="1:11" x14ac:dyDescent="0.2">
      <c r="A119" t="s">
        <v>377</v>
      </c>
      <c r="B119" t="s">
        <v>532</v>
      </c>
      <c r="C119" t="s">
        <v>538</v>
      </c>
      <c r="D119" t="s">
        <v>539</v>
      </c>
      <c r="E119" t="s">
        <v>540</v>
      </c>
      <c r="F119" t="s">
        <v>6</v>
      </c>
      <c r="G119" t="s">
        <v>11</v>
      </c>
      <c r="H119">
        <f>44056*(1.01^10)</f>
        <v>48665.232357116038</v>
      </c>
      <c r="I119">
        <f>206716*(1.01^10)</f>
        <v>228343.06727650261</v>
      </c>
      <c r="J119" t="s">
        <v>541</v>
      </c>
      <c r="K119">
        <f t="shared" si="1"/>
        <v>81.288622289895372</v>
      </c>
    </row>
    <row r="120" spans="1:11" x14ac:dyDescent="0.2">
      <c r="A120" t="s">
        <v>377</v>
      </c>
      <c r="B120" t="s">
        <v>532</v>
      </c>
      <c r="C120" t="s">
        <v>543</v>
      </c>
      <c r="D120" t="s">
        <v>544</v>
      </c>
      <c r="E120" t="s">
        <v>318</v>
      </c>
      <c r="F120" t="s">
        <v>24</v>
      </c>
      <c r="G120" t="s">
        <v>24</v>
      </c>
      <c r="H120">
        <f>5310*(1.01^10)</f>
        <v>5865.5434859334973</v>
      </c>
      <c r="I120">
        <f>25908*(1.01^10)</f>
        <v>28618.550025153494</v>
      </c>
      <c r="J120" t="s">
        <v>545</v>
      </c>
      <c r="K120">
        <f t="shared" si="1"/>
        <v>105.20841447292054</v>
      </c>
    </row>
    <row r="121" spans="1:11" x14ac:dyDescent="0.2">
      <c r="A121" t="s">
        <v>377</v>
      </c>
      <c r="B121" t="s">
        <v>532</v>
      </c>
      <c r="C121" t="s">
        <v>546</v>
      </c>
      <c r="D121" t="s">
        <v>547</v>
      </c>
      <c r="E121" t="s">
        <v>374</v>
      </c>
      <c r="F121" t="s">
        <v>24</v>
      </c>
      <c r="G121" t="s">
        <v>12</v>
      </c>
      <c r="H121">
        <f>8642*(1.01^10)</f>
        <v>9546.1444078036311</v>
      </c>
      <c r="I121">
        <f>43612*(1.01^10)</f>
        <v>48174.780133433458</v>
      </c>
      <c r="J121" t="s">
        <v>548</v>
      </c>
      <c r="K121">
        <f t="shared" si="1"/>
        <v>50.358343874359434</v>
      </c>
    </row>
    <row r="122" spans="1:11" x14ac:dyDescent="0.2">
      <c r="A122" t="s">
        <v>377</v>
      </c>
      <c r="B122" t="s">
        <v>532</v>
      </c>
      <c r="C122" t="s">
        <v>549</v>
      </c>
      <c r="D122" t="s">
        <v>550</v>
      </c>
      <c r="E122" t="s">
        <v>411</v>
      </c>
      <c r="F122" t="s">
        <v>24</v>
      </c>
      <c r="G122" t="s">
        <v>24</v>
      </c>
      <c r="H122">
        <f>12292*(1.01^10)</f>
        <v>13578.015165554529</v>
      </c>
      <c r="I122">
        <f>56917*(1.01^10)</f>
        <v>62871.777512029541</v>
      </c>
      <c r="J122" t="s">
        <v>551</v>
      </c>
      <c r="K122">
        <f t="shared" si="1"/>
        <v>209.36287882895888</v>
      </c>
    </row>
    <row r="123" spans="1:11" x14ac:dyDescent="0.2">
      <c r="A123" t="s">
        <v>377</v>
      </c>
      <c r="B123" t="s">
        <v>532</v>
      </c>
      <c r="C123" t="s">
        <v>552</v>
      </c>
      <c r="D123" t="s">
        <v>553</v>
      </c>
      <c r="E123" t="s">
        <v>427</v>
      </c>
      <c r="F123" t="s">
        <v>24</v>
      </c>
      <c r="G123" t="s">
        <v>24</v>
      </c>
      <c r="H123">
        <f>12057*(1.01^10)</f>
        <v>13318.428966082896</v>
      </c>
      <c r="I123">
        <f>53089*(1.01^10)</f>
        <v>58643.284015955447</v>
      </c>
      <c r="J123" t="s">
        <v>554</v>
      </c>
      <c r="K123">
        <f t="shared" si="1"/>
        <v>141.89774580711116</v>
      </c>
    </row>
    <row r="124" spans="1:11" x14ac:dyDescent="0.2">
      <c r="A124" t="s">
        <v>377</v>
      </c>
      <c r="B124" t="s">
        <v>556</v>
      </c>
      <c r="C124" t="s">
        <v>557</v>
      </c>
      <c r="D124" t="s">
        <v>558</v>
      </c>
      <c r="E124" t="s">
        <v>133</v>
      </c>
      <c r="F124" t="s">
        <v>16</v>
      </c>
      <c r="G124" t="s">
        <v>24</v>
      </c>
      <c r="H124">
        <f>10432*(1.01^10)</f>
        <v>11523.418012289689</v>
      </c>
      <c r="I124">
        <f>49357*(1.01^10)</f>
        <v>54520.834243920835</v>
      </c>
      <c r="J124" t="s">
        <v>559</v>
      </c>
      <c r="K124">
        <f t="shared" si="1"/>
        <v>133.14575754322334</v>
      </c>
    </row>
    <row r="125" spans="1:11" x14ac:dyDescent="0.2">
      <c r="A125" t="s">
        <v>377</v>
      </c>
      <c r="B125" t="s">
        <v>556</v>
      </c>
      <c r="C125" t="s">
        <v>561</v>
      </c>
      <c r="D125" t="s">
        <v>562</v>
      </c>
      <c r="E125" t="s">
        <v>563</v>
      </c>
      <c r="F125" t="s">
        <v>108</v>
      </c>
      <c r="G125" t="s">
        <v>12</v>
      </c>
      <c r="H125">
        <f>19597*(1.01^10)</f>
        <v>21647.279791683381</v>
      </c>
      <c r="I125">
        <f>84470*(1.01^10)</f>
        <v>93307.430933484458</v>
      </c>
      <c r="J125" t="s">
        <v>564</v>
      </c>
      <c r="K125">
        <f t="shared" si="1"/>
        <v>336.23931461183702</v>
      </c>
    </row>
    <row r="126" spans="1:11" x14ac:dyDescent="0.2">
      <c r="A126" t="s">
        <v>377</v>
      </c>
      <c r="B126" t="s">
        <v>556</v>
      </c>
      <c r="C126" t="s">
        <v>566</v>
      </c>
      <c r="D126" t="s">
        <v>567</v>
      </c>
      <c r="E126" t="s">
        <v>568</v>
      </c>
      <c r="F126" t="s">
        <v>12</v>
      </c>
      <c r="G126" t="s">
        <v>24</v>
      </c>
      <c r="H126">
        <f>6438*(1.01^10)</f>
        <v>7111.5572433973366</v>
      </c>
      <c r="I126">
        <f>25832*(1.01^10)</f>
        <v>28534.598743622242</v>
      </c>
      <c r="J126" t="s">
        <v>569</v>
      </c>
      <c r="K126">
        <f t="shared" si="1"/>
        <v>336.2756792732207</v>
      </c>
    </row>
    <row r="127" spans="1:11" x14ac:dyDescent="0.2">
      <c r="A127" t="s">
        <v>377</v>
      </c>
      <c r="B127" t="s">
        <v>556</v>
      </c>
      <c r="C127" t="s">
        <v>570</v>
      </c>
      <c r="D127" t="s">
        <v>571</v>
      </c>
      <c r="E127" t="s">
        <v>164</v>
      </c>
      <c r="F127" t="s">
        <v>17</v>
      </c>
      <c r="G127" t="s">
        <v>24</v>
      </c>
      <c r="H127">
        <f>4199*(1.01^10)</f>
        <v>4638.3083046016491</v>
      </c>
      <c r="I127">
        <f>16925*(1.01^10)</f>
        <v>18695.72947258464</v>
      </c>
      <c r="J127" t="s">
        <v>572</v>
      </c>
      <c r="K127">
        <f t="shared" si="1"/>
        <v>314.62714896731921</v>
      </c>
    </row>
    <row r="128" spans="1:11" x14ac:dyDescent="0.2">
      <c r="A128" t="s">
        <v>377</v>
      </c>
      <c r="B128" t="s">
        <v>556</v>
      </c>
      <c r="C128" t="s">
        <v>574</v>
      </c>
      <c r="D128" t="s">
        <v>575</v>
      </c>
      <c r="E128" t="s">
        <v>36</v>
      </c>
      <c r="F128" t="s">
        <v>5</v>
      </c>
      <c r="G128" t="s">
        <v>24</v>
      </c>
      <c r="H128">
        <f>8292*(1.01^10)</f>
        <v>9159.5266639097099</v>
      </c>
      <c r="I128">
        <f>34777*(1.01^10)</f>
        <v>38415.443655425464</v>
      </c>
      <c r="J128" t="s">
        <v>576</v>
      </c>
      <c r="K128">
        <f t="shared" si="1"/>
        <v>333.06988545173908</v>
      </c>
    </row>
    <row r="129" spans="1:11" x14ac:dyDescent="0.2">
      <c r="A129" t="s">
        <v>377</v>
      </c>
      <c r="B129" t="s">
        <v>556</v>
      </c>
      <c r="C129" t="s">
        <v>578</v>
      </c>
      <c r="D129" t="s">
        <v>579</v>
      </c>
      <c r="E129" t="s">
        <v>67</v>
      </c>
      <c r="F129" t="s">
        <v>17</v>
      </c>
      <c r="G129" t="s">
        <v>24</v>
      </c>
      <c r="H129">
        <f>5775*(1.01^10)</f>
        <v>6379.1927742497073</v>
      </c>
      <c r="I129">
        <f>25860*(1.01^10)</f>
        <v>28565.528163133753</v>
      </c>
      <c r="J129" t="s">
        <v>580</v>
      </c>
      <c r="K129">
        <f t="shared" si="1"/>
        <v>320.46446257944592</v>
      </c>
    </row>
    <row r="130" spans="1:11" x14ac:dyDescent="0.2">
      <c r="A130" t="s">
        <v>377</v>
      </c>
      <c r="B130" t="s">
        <v>556</v>
      </c>
      <c r="C130" t="s">
        <v>582</v>
      </c>
      <c r="D130" t="s">
        <v>583</v>
      </c>
      <c r="E130" t="s">
        <v>584</v>
      </c>
      <c r="F130" t="s">
        <v>12</v>
      </c>
      <c r="G130" t="s">
        <v>12</v>
      </c>
      <c r="H130">
        <f>15828*(1.01^10)</f>
        <v>17483.959001008549</v>
      </c>
      <c r="I130">
        <f>64269*(1.01^10)</f>
        <v>70992.959378052721</v>
      </c>
      <c r="J130" t="s">
        <v>585</v>
      </c>
      <c r="K130">
        <f t="shared" si="1"/>
        <v>484.91510623281488</v>
      </c>
    </row>
    <row r="131" spans="1:11" x14ac:dyDescent="0.2">
      <c r="A131" t="s">
        <v>377</v>
      </c>
      <c r="B131" t="s">
        <v>556</v>
      </c>
      <c r="C131" t="s">
        <v>587</v>
      </c>
      <c r="D131" t="s">
        <v>588</v>
      </c>
      <c r="E131" t="s">
        <v>589</v>
      </c>
      <c r="F131" t="s">
        <v>12</v>
      </c>
      <c r="G131" t="s">
        <v>24</v>
      </c>
      <c r="H131">
        <f>4934*(1.01^10)</f>
        <v>5450.2055667788845</v>
      </c>
      <c r="I131">
        <f>21542*(1.01^10)</f>
        <v>23795.769825608171</v>
      </c>
      <c r="J131" t="s">
        <v>590</v>
      </c>
      <c r="K131">
        <f t="shared" ref="K131:K194" si="2">I131/J131</f>
        <v>269.39520221617255</v>
      </c>
    </row>
    <row r="132" spans="1:11" x14ac:dyDescent="0.2">
      <c r="A132" t="s">
        <v>377</v>
      </c>
      <c r="B132" t="s">
        <v>556</v>
      </c>
      <c r="C132" t="s">
        <v>592</v>
      </c>
      <c r="D132" t="s">
        <v>593</v>
      </c>
      <c r="E132" t="s">
        <v>58</v>
      </c>
      <c r="F132" t="s">
        <v>92</v>
      </c>
      <c r="G132" t="s">
        <v>24</v>
      </c>
      <c r="H132">
        <f>10107*(1.01^10)</f>
        <v>11164.415821531047</v>
      </c>
      <c r="I132">
        <f>43811*(1.01^10)</f>
        <v>48394.599936390288</v>
      </c>
      <c r="J132" t="s">
        <v>594</v>
      </c>
      <c r="K132">
        <f t="shared" si="2"/>
        <v>511.31310348566558</v>
      </c>
    </row>
    <row r="133" spans="1:11" x14ac:dyDescent="0.2">
      <c r="A133" t="s">
        <v>377</v>
      </c>
      <c r="B133" t="s">
        <v>556</v>
      </c>
      <c r="C133" t="s">
        <v>596</v>
      </c>
      <c r="D133" t="s">
        <v>597</v>
      </c>
      <c r="E133" t="s">
        <v>598</v>
      </c>
      <c r="F133" t="s">
        <v>422</v>
      </c>
      <c r="G133" t="s">
        <v>12</v>
      </c>
      <c r="H133">
        <f>24005*(1.01^10)</f>
        <v>26516.454120495971</v>
      </c>
      <c r="I133">
        <f>111351*(1.01^10)</f>
        <v>123000.77828666306</v>
      </c>
      <c r="J133" t="s">
        <v>599</v>
      </c>
      <c r="K133">
        <f t="shared" si="2"/>
        <v>503.03799240864083</v>
      </c>
    </row>
    <row r="134" spans="1:11" x14ac:dyDescent="0.2">
      <c r="A134" t="s">
        <v>377</v>
      </c>
      <c r="B134" t="s">
        <v>556</v>
      </c>
      <c r="C134" t="s">
        <v>601</v>
      </c>
      <c r="D134" t="s">
        <v>86</v>
      </c>
      <c r="E134" t="s">
        <v>602</v>
      </c>
      <c r="F134" t="s">
        <v>72</v>
      </c>
      <c r="G134" t="s">
        <v>17</v>
      </c>
      <c r="H134">
        <f>47425*(1.01^10)</f>
        <v>52386.704297626384</v>
      </c>
      <c r="I134">
        <f>216051*(1.01^10)</f>
        <v>238654.71481721618</v>
      </c>
      <c r="J134" t="s">
        <v>603</v>
      </c>
      <c r="K134">
        <f t="shared" si="2"/>
        <v>403.62756708352083</v>
      </c>
    </row>
    <row r="135" spans="1:11" x14ac:dyDescent="0.2">
      <c r="A135" t="s">
        <v>377</v>
      </c>
      <c r="B135" t="s">
        <v>556</v>
      </c>
      <c r="C135" t="s">
        <v>605</v>
      </c>
      <c r="D135" t="s">
        <v>606</v>
      </c>
      <c r="E135" t="s">
        <v>51</v>
      </c>
      <c r="F135" t="s">
        <v>56</v>
      </c>
      <c r="G135" t="s">
        <v>24</v>
      </c>
      <c r="H135">
        <f>6032*(1.01^10)</f>
        <v>6663.0806604803875</v>
      </c>
      <c r="I135">
        <f>30893*(1.01^10)</f>
        <v>34125.091320328349</v>
      </c>
      <c r="J135" t="s">
        <v>607</v>
      </c>
      <c r="K135">
        <f t="shared" si="2"/>
        <v>226.49567113904951</v>
      </c>
    </row>
    <row r="136" spans="1:11" x14ac:dyDescent="0.2">
      <c r="A136" t="s">
        <v>377</v>
      </c>
      <c r="B136" t="s">
        <v>556</v>
      </c>
      <c r="C136" t="s">
        <v>609</v>
      </c>
      <c r="D136" t="s">
        <v>610</v>
      </c>
      <c r="E136" t="s">
        <v>611</v>
      </c>
      <c r="F136" t="s">
        <v>612</v>
      </c>
      <c r="G136" t="s">
        <v>24</v>
      </c>
      <c r="H136">
        <f>7220*(1.01^10)</f>
        <v>7975.3717454688986</v>
      </c>
      <c r="I136">
        <f>37913*(1.01^10)</f>
        <v>41879.538640715007</v>
      </c>
      <c r="J136" t="s">
        <v>613</v>
      </c>
      <c r="K136">
        <f t="shared" si="2"/>
        <v>217.99009911020909</v>
      </c>
    </row>
    <row r="137" spans="1:11" x14ac:dyDescent="0.2">
      <c r="A137" t="s">
        <v>377</v>
      </c>
      <c r="B137" t="s">
        <v>556</v>
      </c>
      <c r="C137" t="s">
        <v>614</v>
      </c>
      <c r="D137" t="s">
        <v>615</v>
      </c>
      <c r="E137" t="s">
        <v>347</v>
      </c>
      <c r="F137" t="s">
        <v>484</v>
      </c>
      <c r="G137" t="s">
        <v>24</v>
      </c>
      <c r="H137">
        <f>10872*(1.01^10)</f>
        <v>12009.451747470617</v>
      </c>
      <c r="I137">
        <f>50308*(1.01^10)</f>
        <v>55571.329885186889</v>
      </c>
      <c r="J137" t="s">
        <v>616</v>
      </c>
      <c r="K137">
        <f t="shared" si="2"/>
        <v>177.22309687062472</v>
      </c>
    </row>
    <row r="138" spans="1:11" x14ac:dyDescent="0.2">
      <c r="A138" t="s">
        <v>377</v>
      </c>
      <c r="B138" t="s">
        <v>556</v>
      </c>
      <c r="C138" t="s">
        <v>617</v>
      </c>
      <c r="D138" t="s">
        <v>618</v>
      </c>
      <c r="E138" t="s">
        <v>540</v>
      </c>
      <c r="F138" t="s">
        <v>619</v>
      </c>
      <c r="G138" t="s">
        <v>24</v>
      </c>
      <c r="H138">
        <f>12416*(1.01^10)</f>
        <v>13714.988309105518</v>
      </c>
      <c r="I138">
        <f>57723*(1.01^10)</f>
        <v>63762.102945110972</v>
      </c>
      <c r="J138" t="s">
        <v>620</v>
      </c>
      <c r="K138">
        <f t="shared" si="2"/>
        <v>263.10058651314631</v>
      </c>
    </row>
    <row r="139" spans="1:11" x14ac:dyDescent="0.2">
      <c r="A139" t="s">
        <v>377</v>
      </c>
      <c r="B139" t="s">
        <v>556</v>
      </c>
      <c r="C139" t="s">
        <v>622</v>
      </c>
      <c r="D139" t="s">
        <v>623</v>
      </c>
      <c r="E139" t="s">
        <v>624</v>
      </c>
      <c r="F139" t="s">
        <v>535</v>
      </c>
      <c r="G139" t="s">
        <v>24</v>
      </c>
      <c r="H139">
        <f>6908*(1.01^10)</f>
        <v>7630.7296423406024</v>
      </c>
      <c r="I139">
        <f>35569*(1.01^10)</f>
        <v>39290.304378751141</v>
      </c>
      <c r="J139" t="s">
        <v>625</v>
      </c>
      <c r="K139">
        <f t="shared" si="2"/>
        <v>120.19549704673963</v>
      </c>
    </row>
    <row r="140" spans="1:11" x14ac:dyDescent="0.2">
      <c r="A140" t="s">
        <v>377</v>
      </c>
      <c r="B140" t="s">
        <v>556</v>
      </c>
      <c r="C140" t="s">
        <v>627</v>
      </c>
      <c r="D140" t="s">
        <v>628</v>
      </c>
      <c r="E140" t="s">
        <v>629</v>
      </c>
      <c r="F140" t="s">
        <v>535</v>
      </c>
      <c r="G140" t="s">
        <v>24</v>
      </c>
      <c r="H140">
        <f>18665*(1.01^10)</f>
        <v>20617.771970800135</v>
      </c>
      <c r="I140">
        <f>93126*(1.01^10)</f>
        <v>102869.04005104385</v>
      </c>
      <c r="J140" t="s">
        <v>630</v>
      </c>
      <c r="K140">
        <f t="shared" si="2"/>
        <v>196.49436151777968</v>
      </c>
    </row>
    <row r="141" spans="1:11" x14ac:dyDescent="0.2">
      <c r="A141" t="s">
        <v>377</v>
      </c>
      <c r="B141" t="s">
        <v>632</v>
      </c>
      <c r="C141" t="s">
        <v>633</v>
      </c>
      <c r="D141" t="s">
        <v>634</v>
      </c>
      <c r="E141" t="s">
        <v>444</v>
      </c>
      <c r="F141" t="s">
        <v>405</v>
      </c>
      <c r="G141" t="s">
        <v>12</v>
      </c>
      <c r="H141">
        <f>10693*(1.01^10)</f>
        <v>11811.724387022012</v>
      </c>
      <c r="I141">
        <f>46007*(1.01^10)</f>
        <v>50820.350123793294</v>
      </c>
      <c r="J141" t="s">
        <v>635</v>
      </c>
      <c r="K141">
        <f t="shared" si="2"/>
        <v>276.33035585430031</v>
      </c>
    </row>
    <row r="142" spans="1:11" x14ac:dyDescent="0.2">
      <c r="A142" t="s">
        <v>377</v>
      </c>
      <c r="B142" t="s">
        <v>632</v>
      </c>
      <c r="C142" t="s">
        <v>637</v>
      </c>
      <c r="D142" t="s">
        <v>638</v>
      </c>
      <c r="E142" t="s">
        <v>639</v>
      </c>
      <c r="F142" t="s">
        <v>382</v>
      </c>
      <c r="G142" t="s">
        <v>12</v>
      </c>
      <c r="H142">
        <f>18065*(1.01^10)</f>
        <v>19954.998695553415</v>
      </c>
      <c r="I142">
        <f>81089*(1.01^10)</f>
        <v>89572.703527469188</v>
      </c>
      <c r="J142" t="s">
        <v>640</v>
      </c>
      <c r="K142">
        <f t="shared" si="2"/>
        <v>491.41891596296927</v>
      </c>
    </row>
    <row r="143" spans="1:11" x14ac:dyDescent="0.2">
      <c r="A143" t="s">
        <v>377</v>
      </c>
      <c r="B143" t="s">
        <v>632</v>
      </c>
      <c r="C143" t="s">
        <v>642</v>
      </c>
      <c r="D143" t="s">
        <v>643</v>
      </c>
      <c r="E143" t="s">
        <v>626</v>
      </c>
      <c r="F143" t="s">
        <v>17</v>
      </c>
      <c r="G143" t="s">
        <v>24</v>
      </c>
      <c r="H143">
        <f>6043*(1.01^10)</f>
        <v>6675.2315038599099</v>
      </c>
      <c r="I143">
        <f>26957*(1.01^10)</f>
        <v>29777.298634709845</v>
      </c>
      <c r="J143" t="s">
        <v>644</v>
      </c>
      <c r="K143">
        <f t="shared" si="2"/>
        <v>380.87342465529002</v>
      </c>
    </row>
    <row r="144" spans="1:11" x14ac:dyDescent="0.2">
      <c r="A144" t="s">
        <v>377</v>
      </c>
      <c r="B144" t="s">
        <v>632</v>
      </c>
      <c r="C144" t="s">
        <v>645</v>
      </c>
      <c r="D144" t="s">
        <v>646</v>
      </c>
      <c r="E144" t="s">
        <v>154</v>
      </c>
      <c r="F144" t="s">
        <v>5</v>
      </c>
      <c r="G144" t="s">
        <v>12</v>
      </c>
      <c r="H144">
        <f>27322*(1.01^10)</f>
        <v>30180.485710484936</v>
      </c>
      <c r="I144">
        <f>116948*(1.01^10)</f>
        <v>129183.34832258958</v>
      </c>
      <c r="J144" t="s">
        <v>647</v>
      </c>
      <c r="K144">
        <f t="shared" si="2"/>
        <v>562.21844836032687</v>
      </c>
    </row>
    <row r="145" spans="1:11" x14ac:dyDescent="0.2">
      <c r="A145" t="s">
        <v>377</v>
      </c>
      <c r="B145" t="s">
        <v>632</v>
      </c>
      <c r="C145" t="s">
        <v>649</v>
      </c>
      <c r="D145" t="s">
        <v>650</v>
      </c>
      <c r="E145" t="s">
        <v>651</v>
      </c>
      <c r="F145" t="s">
        <v>44</v>
      </c>
      <c r="G145" t="s">
        <v>12</v>
      </c>
      <c r="H145">
        <f>12450*(1.01^10)</f>
        <v>13752.545461369498</v>
      </c>
      <c r="I145">
        <f>55556*(1.01^10)</f>
        <v>61368.386799344888</v>
      </c>
      <c r="J145" t="s">
        <v>652</v>
      </c>
      <c r="K145">
        <f t="shared" si="2"/>
        <v>365.52663138403915</v>
      </c>
    </row>
    <row r="146" spans="1:11" x14ac:dyDescent="0.2">
      <c r="A146" t="s">
        <v>377</v>
      </c>
      <c r="B146" t="s">
        <v>632</v>
      </c>
      <c r="C146" t="s">
        <v>654</v>
      </c>
      <c r="D146" t="s">
        <v>655</v>
      </c>
      <c r="E146" t="s">
        <v>555</v>
      </c>
      <c r="F146" t="s">
        <v>5</v>
      </c>
      <c r="G146" t="s">
        <v>24</v>
      </c>
      <c r="H146">
        <f>8628*(1.01^10)</f>
        <v>9530.6796980478739</v>
      </c>
      <c r="I146">
        <f>37621*(1.01^10)</f>
        <v>41556.988980094931</v>
      </c>
      <c r="J146" t="s">
        <v>656</v>
      </c>
      <c r="K146">
        <f t="shared" si="2"/>
        <v>348.20755301456859</v>
      </c>
    </row>
    <row r="147" spans="1:11" x14ac:dyDescent="0.2">
      <c r="A147" t="s">
        <v>377</v>
      </c>
      <c r="B147" t="s">
        <v>632</v>
      </c>
      <c r="C147" t="s">
        <v>658</v>
      </c>
      <c r="D147" t="s">
        <v>659</v>
      </c>
      <c r="E147" t="s">
        <v>660</v>
      </c>
      <c r="F147" t="s">
        <v>158</v>
      </c>
      <c r="G147" t="s">
        <v>24</v>
      </c>
      <c r="H147">
        <f>22318*(1.01^10)</f>
        <v>24652.956594927269</v>
      </c>
      <c r="I147">
        <f>90590*(1.01^10)</f>
        <v>100067.71834100103</v>
      </c>
      <c r="J147" t="s">
        <v>661</v>
      </c>
      <c r="K147">
        <f t="shared" si="2"/>
        <v>638.92387644780501</v>
      </c>
    </row>
    <row r="148" spans="1:11" x14ac:dyDescent="0.2">
      <c r="A148" t="s">
        <v>377</v>
      </c>
      <c r="B148" t="s">
        <v>663</v>
      </c>
      <c r="C148" t="s">
        <v>664</v>
      </c>
      <c r="D148" t="s">
        <v>665</v>
      </c>
      <c r="E148" t="s">
        <v>333</v>
      </c>
      <c r="F148" t="s">
        <v>17</v>
      </c>
      <c r="G148" t="s">
        <v>24</v>
      </c>
      <c r="H148">
        <f>4044*(1.01^10)</f>
        <v>4467.0918751629124</v>
      </c>
      <c r="I148">
        <f>17847*(1.01^10)</f>
        <v>19714.191072213773</v>
      </c>
      <c r="J148" t="s">
        <v>666</v>
      </c>
      <c r="K148">
        <f t="shared" si="2"/>
        <v>244.5608233058409</v>
      </c>
    </row>
    <row r="149" spans="1:11" x14ac:dyDescent="0.2">
      <c r="A149" t="s">
        <v>377</v>
      </c>
      <c r="B149" t="s">
        <v>663</v>
      </c>
      <c r="C149" t="s">
        <v>668</v>
      </c>
      <c r="D149" t="s">
        <v>669</v>
      </c>
      <c r="E149" t="s">
        <v>416</v>
      </c>
      <c r="F149" t="s">
        <v>108</v>
      </c>
      <c r="G149" t="s">
        <v>17</v>
      </c>
      <c r="H149">
        <f>36710*(1.01^10)</f>
        <v>40550.678223845323</v>
      </c>
      <c r="I149">
        <f>168793*(1.01^10)</f>
        <v>186452.48241453347</v>
      </c>
      <c r="J149" t="s">
        <v>670</v>
      </c>
      <c r="K149">
        <f t="shared" si="2"/>
        <v>366.64213539991988</v>
      </c>
    </row>
    <row r="150" spans="1:11" x14ac:dyDescent="0.2">
      <c r="A150" t="s">
        <v>377</v>
      </c>
      <c r="B150" t="s">
        <v>663</v>
      </c>
      <c r="C150" t="s">
        <v>672</v>
      </c>
      <c r="D150" t="s">
        <v>673</v>
      </c>
      <c r="E150" t="s">
        <v>63</v>
      </c>
      <c r="F150" t="s">
        <v>674</v>
      </c>
      <c r="G150" t="s">
        <v>24</v>
      </c>
      <c r="H150">
        <f>15570*(1.01^10)</f>
        <v>17198.966492652457</v>
      </c>
      <c r="I150">
        <f>73035*(1.01^10)</f>
        <v>80676.07692940734</v>
      </c>
      <c r="J150" t="s">
        <v>675</v>
      </c>
      <c r="K150">
        <f t="shared" si="2"/>
        <v>193.36499981888565</v>
      </c>
    </row>
    <row r="151" spans="1:11" x14ac:dyDescent="0.2">
      <c r="A151" t="s">
        <v>377</v>
      </c>
      <c r="B151" t="s">
        <v>663</v>
      </c>
      <c r="C151" t="s">
        <v>677</v>
      </c>
      <c r="D151" t="s">
        <v>678</v>
      </c>
      <c r="E151" t="s">
        <v>679</v>
      </c>
      <c r="F151" t="s">
        <v>12</v>
      </c>
      <c r="G151" t="s">
        <v>11</v>
      </c>
      <c r="H151">
        <f>39901*(1.01^10)</f>
        <v>44075.52742603248</v>
      </c>
      <c r="I151">
        <f>190082*(1.01^10)</f>
        <v>209968.78284241262</v>
      </c>
      <c r="J151" t="s">
        <v>680</v>
      </c>
      <c r="K151">
        <f t="shared" si="2"/>
        <v>625.4464936396605</v>
      </c>
    </row>
    <row r="152" spans="1:11" x14ac:dyDescent="0.2">
      <c r="A152" t="s">
        <v>377</v>
      </c>
      <c r="B152" t="s">
        <v>663</v>
      </c>
      <c r="C152" t="s">
        <v>682</v>
      </c>
      <c r="D152" t="s">
        <v>683</v>
      </c>
      <c r="E152" t="s">
        <v>612</v>
      </c>
      <c r="F152" t="s">
        <v>24</v>
      </c>
      <c r="G152" t="s">
        <v>24</v>
      </c>
      <c r="H152">
        <f>14107*(1.01^10)</f>
        <v>15582.904323175866</v>
      </c>
      <c r="I152">
        <f>71416*(1.01^10)</f>
        <v>78887.693708366598</v>
      </c>
      <c r="J152" t="s">
        <v>684</v>
      </c>
      <c r="K152">
        <f t="shared" si="2"/>
        <v>398.59863751499671</v>
      </c>
    </row>
    <row r="153" spans="1:11" x14ac:dyDescent="0.2">
      <c r="A153" t="s">
        <v>377</v>
      </c>
      <c r="B153" t="s">
        <v>686</v>
      </c>
      <c r="C153" t="s">
        <v>687</v>
      </c>
      <c r="D153" t="s">
        <v>688</v>
      </c>
      <c r="E153" t="s">
        <v>689</v>
      </c>
      <c r="F153" t="s">
        <v>445</v>
      </c>
      <c r="G153" t="s">
        <v>12</v>
      </c>
      <c r="H153">
        <f>19593*(1.01^10)</f>
        <v>21642.861303181733</v>
      </c>
      <c r="I153">
        <f>89516*(1.01^10)</f>
        <v>98881.354178309397</v>
      </c>
      <c r="J153" t="s">
        <v>690</v>
      </c>
      <c r="K153">
        <f t="shared" si="2"/>
        <v>514.2287349398357</v>
      </c>
    </row>
    <row r="154" spans="1:11" x14ac:dyDescent="0.2">
      <c r="A154" t="s">
        <v>377</v>
      </c>
      <c r="B154" t="s">
        <v>686</v>
      </c>
      <c r="C154" t="s">
        <v>692</v>
      </c>
      <c r="D154" t="s">
        <v>693</v>
      </c>
      <c r="E154" t="s">
        <v>148</v>
      </c>
      <c r="F154" t="s">
        <v>5</v>
      </c>
      <c r="G154" t="s">
        <v>24</v>
      </c>
      <c r="H154">
        <f>10174*(1.01^10)</f>
        <v>11238.425503933597</v>
      </c>
      <c r="I154">
        <f>45713*(1.01^10)</f>
        <v>50495.591218922404</v>
      </c>
      <c r="J154" t="s">
        <v>694</v>
      </c>
      <c r="K154">
        <f t="shared" si="2"/>
        <v>530.3848378517049</v>
      </c>
    </row>
    <row r="155" spans="1:11" x14ac:dyDescent="0.2">
      <c r="A155" t="s">
        <v>377</v>
      </c>
      <c r="B155" t="s">
        <v>686</v>
      </c>
      <c r="C155" t="s">
        <v>696</v>
      </c>
      <c r="D155" t="s">
        <v>697</v>
      </c>
      <c r="E155" t="s">
        <v>698</v>
      </c>
      <c r="F155" t="s">
        <v>180</v>
      </c>
      <c r="G155" t="s">
        <v>12</v>
      </c>
      <c r="H155">
        <f>19425*(1.01^10)</f>
        <v>21457.284786112654</v>
      </c>
      <c r="I155">
        <f>91562*(1.01^10)</f>
        <v>101141.41104690073</v>
      </c>
      <c r="J155" t="s">
        <v>699</v>
      </c>
      <c r="K155">
        <f t="shared" si="2"/>
        <v>307.13455560202857</v>
      </c>
    </row>
    <row r="156" spans="1:11" x14ac:dyDescent="0.2">
      <c r="A156" t="s">
        <v>377</v>
      </c>
      <c r="B156" t="s">
        <v>686</v>
      </c>
      <c r="C156" t="s">
        <v>701</v>
      </c>
      <c r="D156" t="s">
        <v>702</v>
      </c>
      <c r="E156" t="s">
        <v>703</v>
      </c>
      <c r="F156" t="s">
        <v>313</v>
      </c>
      <c r="G156" t="s">
        <v>12</v>
      </c>
      <c r="H156">
        <f>9147*(1.01^10)</f>
        <v>10103.978581136289</v>
      </c>
      <c r="I156">
        <f>46684*(1.01^10)</f>
        <v>51568.179302696684</v>
      </c>
      <c r="J156" t="s">
        <v>704</v>
      </c>
      <c r="K156">
        <f t="shared" si="2"/>
        <v>191.65248572989677</v>
      </c>
    </row>
    <row r="157" spans="1:11" x14ac:dyDescent="0.2">
      <c r="A157" t="s">
        <v>377</v>
      </c>
      <c r="B157" t="s">
        <v>686</v>
      </c>
      <c r="C157" t="s">
        <v>706</v>
      </c>
      <c r="D157" t="s">
        <v>707</v>
      </c>
      <c r="E157" t="s">
        <v>598</v>
      </c>
      <c r="F157" t="s">
        <v>152</v>
      </c>
      <c r="G157" t="s">
        <v>12</v>
      </c>
      <c r="H157">
        <f>15873*(1.01^10)</f>
        <v>17533.666996652053</v>
      </c>
      <c r="I157">
        <f>75714*(1.01^10)</f>
        <v>83635.359603383957</v>
      </c>
      <c r="J157" t="s">
        <v>708</v>
      </c>
      <c r="K157">
        <f t="shared" si="2"/>
        <v>463.93373005561614</v>
      </c>
    </row>
    <row r="158" spans="1:11" x14ac:dyDescent="0.2">
      <c r="A158" t="s">
        <v>377</v>
      </c>
      <c r="B158" t="s">
        <v>686</v>
      </c>
      <c r="C158" t="s">
        <v>709</v>
      </c>
      <c r="D158" t="s">
        <v>710</v>
      </c>
      <c r="E158" t="s">
        <v>315</v>
      </c>
      <c r="F158" t="s">
        <v>12</v>
      </c>
      <c r="G158" t="s">
        <v>24</v>
      </c>
      <c r="H158">
        <f>6273*(1.01^10)</f>
        <v>6929.2945927044875</v>
      </c>
      <c r="I158">
        <f>32767*(1.01^10)</f>
        <v>36195.153183348943</v>
      </c>
      <c r="J158" t="s">
        <v>711</v>
      </c>
      <c r="K158">
        <f t="shared" si="2"/>
        <v>358.84928149939662</v>
      </c>
    </row>
    <row r="159" spans="1:11" x14ac:dyDescent="0.2">
      <c r="A159" t="s">
        <v>377</v>
      </c>
      <c r="B159" t="s">
        <v>713</v>
      </c>
      <c r="C159" t="s">
        <v>714</v>
      </c>
      <c r="D159" t="s">
        <v>715</v>
      </c>
      <c r="E159" t="s">
        <v>716</v>
      </c>
      <c r="F159" t="s">
        <v>56</v>
      </c>
      <c r="G159" t="s">
        <v>12</v>
      </c>
      <c r="H159">
        <f>11284*(1.01^10)</f>
        <v>12464.556063140035</v>
      </c>
      <c r="I159">
        <f>56908*(1.01^10)</f>
        <v>62861.835912900839</v>
      </c>
      <c r="J159" t="s">
        <v>717</v>
      </c>
      <c r="K159">
        <f t="shared" si="2"/>
        <v>273.08204395366988</v>
      </c>
    </row>
    <row r="160" spans="1:11" x14ac:dyDescent="0.2">
      <c r="A160" t="s">
        <v>377</v>
      </c>
      <c r="B160" t="s">
        <v>713</v>
      </c>
      <c r="C160" t="s">
        <v>719</v>
      </c>
      <c r="D160" t="s">
        <v>720</v>
      </c>
      <c r="E160" t="s">
        <v>128</v>
      </c>
      <c r="F160" t="s">
        <v>405</v>
      </c>
      <c r="G160" t="s">
        <v>24</v>
      </c>
      <c r="H160">
        <f>6958*(1.01^10)</f>
        <v>7685.9607486111627</v>
      </c>
      <c r="I160">
        <f>36763*(1.01^10)</f>
        <v>40609.223196492123</v>
      </c>
      <c r="J160" t="s">
        <v>721</v>
      </c>
      <c r="K160">
        <f t="shared" si="2"/>
        <v>258.29933561565008</v>
      </c>
    </row>
    <row r="161" spans="1:11" x14ac:dyDescent="0.2">
      <c r="A161" t="s">
        <v>377</v>
      </c>
      <c r="B161" t="s">
        <v>713</v>
      </c>
      <c r="C161" t="s">
        <v>723</v>
      </c>
      <c r="D161" t="s">
        <v>724</v>
      </c>
      <c r="E161" t="s">
        <v>725</v>
      </c>
      <c r="F161" t="s">
        <v>726</v>
      </c>
      <c r="G161" t="s">
        <v>24</v>
      </c>
      <c r="H161">
        <f>6341*(1.01^10)</f>
        <v>7004.4088972324489</v>
      </c>
      <c r="I161">
        <f>32594*(1.01^10)</f>
        <v>36004.053555652805</v>
      </c>
      <c r="J161" t="s">
        <v>727</v>
      </c>
      <c r="K161">
        <f t="shared" si="2"/>
        <v>190.7106429671297</v>
      </c>
    </row>
    <row r="162" spans="1:11" x14ac:dyDescent="0.2">
      <c r="A162" t="s">
        <v>377</v>
      </c>
      <c r="B162" t="s">
        <v>713</v>
      </c>
      <c r="C162" t="s">
        <v>728</v>
      </c>
      <c r="D162" t="s">
        <v>729</v>
      </c>
      <c r="E162" t="s">
        <v>475</v>
      </c>
      <c r="F162" t="s">
        <v>422</v>
      </c>
      <c r="G162" t="s">
        <v>12</v>
      </c>
      <c r="H162">
        <f>22347*(1.01^10)</f>
        <v>24684.990636564191</v>
      </c>
      <c r="I162">
        <f>114211*(1.01^10)</f>
        <v>126159.9975653391</v>
      </c>
      <c r="J162" t="s">
        <v>730</v>
      </c>
      <c r="K162">
        <f t="shared" si="2"/>
        <v>362.52430516199996</v>
      </c>
    </row>
    <row r="163" spans="1:11" x14ac:dyDescent="0.2">
      <c r="A163" t="s">
        <v>377</v>
      </c>
      <c r="B163" t="s">
        <v>713</v>
      </c>
      <c r="C163" t="s">
        <v>732</v>
      </c>
      <c r="D163" t="s">
        <v>733</v>
      </c>
      <c r="E163" t="s">
        <v>236</v>
      </c>
      <c r="F163" t="s">
        <v>220</v>
      </c>
      <c r="G163" t="s">
        <v>12</v>
      </c>
      <c r="H163">
        <f>20365*(1.01^10)</f>
        <v>22495.629583999184</v>
      </c>
      <c r="I163">
        <f>90942*(1.01^10)</f>
        <v>100456.54532914578</v>
      </c>
      <c r="J163" t="s">
        <v>734</v>
      </c>
      <c r="K163">
        <f t="shared" si="2"/>
        <v>433.93437364779106</v>
      </c>
    </row>
    <row r="164" spans="1:11" x14ac:dyDescent="0.2">
      <c r="A164" t="s">
        <v>377</v>
      </c>
      <c r="B164" t="s">
        <v>713</v>
      </c>
      <c r="C164" t="s">
        <v>736</v>
      </c>
      <c r="D164" t="s">
        <v>737</v>
      </c>
      <c r="E164" t="s">
        <v>738</v>
      </c>
      <c r="F164" t="s">
        <v>445</v>
      </c>
      <c r="G164" t="s">
        <v>24</v>
      </c>
      <c r="H164">
        <f>5023*(1.01^10)</f>
        <v>5548.5169359404817</v>
      </c>
      <c r="I164">
        <f>24511*(1.01^10)</f>
        <v>27075.392915954038</v>
      </c>
      <c r="J164" t="s">
        <v>739</v>
      </c>
      <c r="K164">
        <f t="shared" si="2"/>
        <v>223.45484350008411</v>
      </c>
    </row>
    <row r="165" spans="1:11" x14ac:dyDescent="0.2">
      <c r="A165" t="s">
        <v>377</v>
      </c>
      <c r="B165" t="s">
        <v>713</v>
      </c>
      <c r="C165" t="s">
        <v>741</v>
      </c>
      <c r="D165" t="s">
        <v>742</v>
      </c>
      <c r="E165" t="s">
        <v>743</v>
      </c>
      <c r="F165" t="s">
        <v>744</v>
      </c>
      <c r="G165" t="s">
        <v>17</v>
      </c>
      <c r="H165">
        <f>15698*(1.01^10)</f>
        <v>17340.358124705093</v>
      </c>
      <c r="I165">
        <f>67264*(1.01^10)</f>
        <v>74301.302643659277</v>
      </c>
      <c r="J165" t="s">
        <v>745</v>
      </c>
      <c r="K165">
        <f t="shared" si="2"/>
        <v>442.1913648292699</v>
      </c>
    </row>
    <row r="166" spans="1:11" x14ac:dyDescent="0.2">
      <c r="A166" t="s">
        <v>377</v>
      </c>
      <c r="B166" t="s">
        <v>713</v>
      </c>
      <c r="C166" t="s">
        <v>747</v>
      </c>
      <c r="D166" t="s">
        <v>748</v>
      </c>
      <c r="E166" t="s">
        <v>749</v>
      </c>
      <c r="F166" t="s">
        <v>158</v>
      </c>
      <c r="G166" t="s">
        <v>11</v>
      </c>
      <c r="H166">
        <f>26189*(1.01^10)</f>
        <v>28928.948842394042</v>
      </c>
      <c r="I166">
        <f>116598*(1.01^10)</f>
        <v>128796.73057869566</v>
      </c>
      <c r="J166" t="s">
        <v>750</v>
      </c>
      <c r="K166">
        <f t="shared" si="2"/>
        <v>493.76024269157381</v>
      </c>
    </row>
    <row r="167" spans="1:11" x14ac:dyDescent="0.2">
      <c r="A167" t="s">
        <v>377</v>
      </c>
      <c r="B167" t="s">
        <v>713</v>
      </c>
      <c r="C167" t="s">
        <v>752</v>
      </c>
      <c r="D167" t="s">
        <v>753</v>
      </c>
      <c r="E167" t="s">
        <v>754</v>
      </c>
      <c r="F167" t="s">
        <v>411</v>
      </c>
      <c r="G167" t="s">
        <v>24</v>
      </c>
      <c r="H167">
        <f>8220*(1.01^10)</f>
        <v>9079.9938708801037</v>
      </c>
      <c r="I167">
        <f>40529*(1.01^10)</f>
        <v>44769.230120790715</v>
      </c>
      <c r="J167" t="s">
        <v>755</v>
      </c>
      <c r="K167">
        <f t="shared" si="2"/>
        <v>194.42394061673869</v>
      </c>
    </row>
    <row r="168" spans="1:11" x14ac:dyDescent="0.2">
      <c r="A168" t="s">
        <v>377</v>
      </c>
      <c r="B168" t="s">
        <v>756</v>
      </c>
      <c r="C168" t="s">
        <v>757</v>
      </c>
      <c r="D168" t="s">
        <v>758</v>
      </c>
      <c r="E168" t="s">
        <v>759</v>
      </c>
      <c r="F168" t="s">
        <v>24</v>
      </c>
      <c r="G168" t="s">
        <v>12</v>
      </c>
      <c r="H168">
        <f>9754*(1.01^10)</f>
        <v>10774.484211260891</v>
      </c>
      <c r="I168">
        <f>48999*(1.01^10)</f>
        <v>54125.379523023621</v>
      </c>
      <c r="J168" t="s">
        <v>760</v>
      </c>
      <c r="K168">
        <f t="shared" si="2"/>
        <v>142.78409078776636</v>
      </c>
    </row>
    <row r="169" spans="1:11" x14ac:dyDescent="0.2">
      <c r="A169" t="s">
        <v>377</v>
      </c>
      <c r="B169" t="s">
        <v>756</v>
      </c>
      <c r="C169" t="s">
        <v>762</v>
      </c>
      <c r="D169" t="s">
        <v>763</v>
      </c>
      <c r="E169" t="s">
        <v>764</v>
      </c>
      <c r="F169" t="s">
        <v>12</v>
      </c>
      <c r="G169" t="s">
        <v>24</v>
      </c>
      <c r="H169">
        <f>4291*(1.01^10)</f>
        <v>4739.9335401394792</v>
      </c>
      <c r="I169">
        <f>23022*(1.01^10)</f>
        <v>25430.610571216755</v>
      </c>
      <c r="J169" t="s">
        <v>765</v>
      </c>
      <c r="K169">
        <f t="shared" si="2"/>
        <v>139.78668899523532</v>
      </c>
    </row>
    <row r="170" spans="1:11" x14ac:dyDescent="0.2">
      <c r="A170" t="s">
        <v>377</v>
      </c>
      <c r="B170" t="s">
        <v>756</v>
      </c>
      <c r="C170" t="s">
        <v>767</v>
      </c>
      <c r="D170" t="s">
        <v>768</v>
      </c>
      <c r="E170" t="s">
        <v>769</v>
      </c>
      <c r="F170" t="s">
        <v>12</v>
      </c>
      <c r="G170" t="s">
        <v>24</v>
      </c>
      <c r="H170">
        <f>10549*(1.01^10)</f>
        <v>11652.658800962799</v>
      </c>
      <c r="I170">
        <f>53800*(1.01^10)</f>
        <v>59428.670347122817</v>
      </c>
      <c r="J170" t="s">
        <v>770</v>
      </c>
      <c r="K170">
        <f t="shared" si="2"/>
        <v>150.80392828085905</v>
      </c>
    </row>
    <row r="171" spans="1:11" x14ac:dyDescent="0.2">
      <c r="A171" t="s">
        <v>377</v>
      </c>
      <c r="B171" t="s">
        <v>756</v>
      </c>
      <c r="C171" t="s">
        <v>772</v>
      </c>
      <c r="D171" t="s">
        <v>773</v>
      </c>
      <c r="E171" t="s">
        <v>542</v>
      </c>
      <c r="F171" t="s">
        <v>24</v>
      </c>
      <c r="G171" t="s">
        <v>24</v>
      </c>
      <c r="H171">
        <f>7276*(1.01^10)</f>
        <v>8037.2305844919256</v>
      </c>
      <c r="I171">
        <f>47388*(1.01^10)</f>
        <v>52345.833278986167</v>
      </c>
      <c r="J171" t="s">
        <v>774</v>
      </c>
      <c r="K171">
        <f t="shared" si="2"/>
        <v>176.50665620876879</v>
      </c>
    </row>
    <row r="172" spans="1:11" x14ac:dyDescent="0.2">
      <c r="A172" t="s">
        <v>377</v>
      </c>
      <c r="B172" t="s">
        <v>756</v>
      </c>
      <c r="C172" t="s">
        <v>775</v>
      </c>
      <c r="D172" t="s">
        <v>776</v>
      </c>
      <c r="E172" t="s">
        <v>777</v>
      </c>
      <c r="F172" t="s">
        <v>12</v>
      </c>
      <c r="G172" t="s">
        <v>24</v>
      </c>
      <c r="H172">
        <f>3287*(1.01^10)</f>
        <v>3630.8929262266302</v>
      </c>
      <c r="I172">
        <f>17403*(1.01^10)</f>
        <v>19223.738848531197</v>
      </c>
      <c r="J172" t="s">
        <v>778</v>
      </c>
      <c r="K172">
        <f t="shared" si="2"/>
        <v>145.91188158168197</v>
      </c>
    </row>
    <row r="173" spans="1:11" x14ac:dyDescent="0.2">
      <c r="A173" t="s">
        <v>377</v>
      </c>
      <c r="B173" t="s">
        <v>756</v>
      </c>
      <c r="C173" t="s">
        <v>779</v>
      </c>
      <c r="D173" t="s">
        <v>780</v>
      </c>
      <c r="E173" t="s">
        <v>771</v>
      </c>
      <c r="F173" t="s">
        <v>24</v>
      </c>
      <c r="G173" t="s">
        <v>12</v>
      </c>
      <c r="H173">
        <f>17705*(1.01^10)</f>
        <v>19557.334730405379</v>
      </c>
      <c r="I173">
        <f>84149*(1.01^10)</f>
        <v>92952.847231227468</v>
      </c>
      <c r="J173" t="s">
        <v>781</v>
      </c>
      <c r="K173">
        <f t="shared" si="2"/>
        <v>311.9223061450586</v>
      </c>
    </row>
    <row r="174" spans="1:11" x14ac:dyDescent="0.2">
      <c r="A174" t="s">
        <v>377</v>
      </c>
      <c r="B174" t="s">
        <v>756</v>
      </c>
      <c r="C174" t="s">
        <v>782</v>
      </c>
      <c r="D174" t="s">
        <v>783</v>
      </c>
      <c r="E174" t="s">
        <v>784</v>
      </c>
      <c r="F174" t="s">
        <v>92</v>
      </c>
      <c r="G174" t="s">
        <v>12</v>
      </c>
      <c r="H174">
        <f>31523*(1.01^10)</f>
        <v>34821.003259337405</v>
      </c>
      <c r="I174">
        <f>157799*(1.01^10)</f>
        <v>174308.26676776269</v>
      </c>
      <c r="J174" t="s">
        <v>785</v>
      </c>
      <c r="K174">
        <f t="shared" si="2"/>
        <v>236.51053835517325</v>
      </c>
    </row>
    <row r="175" spans="1:11" x14ac:dyDescent="0.2">
      <c r="A175" t="s">
        <v>377</v>
      </c>
      <c r="B175" t="s">
        <v>756</v>
      </c>
      <c r="C175" t="s">
        <v>787</v>
      </c>
      <c r="D175" t="s">
        <v>788</v>
      </c>
      <c r="E175" t="s">
        <v>789</v>
      </c>
      <c r="F175" t="s">
        <v>24</v>
      </c>
      <c r="G175" t="s">
        <v>24</v>
      </c>
      <c r="H175">
        <f>5650*(1.01^10)</f>
        <v>6241.115008573307</v>
      </c>
      <c r="I175">
        <f>37066*(1.01^10)</f>
        <v>40943.923700491716</v>
      </c>
      <c r="J175" t="s">
        <v>790</v>
      </c>
      <c r="K175">
        <f t="shared" si="2"/>
        <v>249.52192255746522</v>
      </c>
    </row>
    <row r="176" spans="1:11" x14ac:dyDescent="0.2">
      <c r="A176" t="s">
        <v>377</v>
      </c>
      <c r="B176" t="s">
        <v>756</v>
      </c>
      <c r="C176" t="s">
        <v>791</v>
      </c>
      <c r="D176" t="s">
        <v>792</v>
      </c>
      <c r="E176" t="s">
        <v>56</v>
      </c>
      <c r="F176" t="s">
        <v>24</v>
      </c>
      <c r="G176" t="s">
        <v>24</v>
      </c>
      <c r="H176">
        <f>5046*(1.01^10)</f>
        <v>5573.9232448249395</v>
      </c>
      <c r="I176">
        <f>36905*(1.01^10)</f>
        <v>40766.07953830051</v>
      </c>
      <c r="J176" t="s">
        <v>793</v>
      </c>
      <c r="K176">
        <f t="shared" si="2"/>
        <v>322.09481657145199</v>
      </c>
    </row>
    <row r="177" spans="1:11" x14ac:dyDescent="0.2">
      <c r="A177" t="s">
        <v>377</v>
      </c>
      <c r="B177" t="s">
        <v>756</v>
      </c>
      <c r="C177" t="s">
        <v>794</v>
      </c>
      <c r="D177" t="s">
        <v>795</v>
      </c>
      <c r="E177" t="s">
        <v>796</v>
      </c>
      <c r="F177" t="s">
        <v>24</v>
      </c>
      <c r="G177" t="s">
        <v>24</v>
      </c>
      <c r="H177">
        <f>3127*(1.01^10)</f>
        <v>3454.1533861608373</v>
      </c>
      <c r="I177">
        <f>23324*(1.01^10)</f>
        <v>25764.206453090941</v>
      </c>
      <c r="J177" t="s">
        <v>797</v>
      </c>
      <c r="K177">
        <f t="shared" si="2"/>
        <v>222.15675250776877</v>
      </c>
    </row>
    <row r="178" spans="1:11" x14ac:dyDescent="0.2">
      <c r="A178" t="s">
        <v>377</v>
      </c>
      <c r="B178" t="s">
        <v>799</v>
      </c>
      <c r="C178" t="s">
        <v>800</v>
      </c>
      <c r="D178" t="s">
        <v>801</v>
      </c>
      <c r="E178" t="s">
        <v>453</v>
      </c>
      <c r="F178" t="s">
        <v>121</v>
      </c>
      <c r="G178" t="s">
        <v>17</v>
      </c>
      <c r="H178">
        <f>18484*(1.01^10)</f>
        <v>20417.83536610071</v>
      </c>
      <c r="I178">
        <f>77542*(1.01^10)</f>
        <v>85654.608848635646</v>
      </c>
      <c r="J178" t="s">
        <v>802</v>
      </c>
      <c r="K178">
        <f t="shared" si="2"/>
        <v>102.9305430102884</v>
      </c>
    </row>
    <row r="179" spans="1:11" x14ac:dyDescent="0.2">
      <c r="A179" t="s">
        <v>377</v>
      </c>
      <c r="B179" t="s">
        <v>799</v>
      </c>
      <c r="C179" t="s">
        <v>803</v>
      </c>
      <c r="D179" t="s">
        <v>804</v>
      </c>
      <c r="E179" t="s">
        <v>498</v>
      </c>
      <c r="F179" t="s">
        <v>445</v>
      </c>
      <c r="G179" t="s">
        <v>24</v>
      </c>
      <c r="H179">
        <f>6075*(1.01^10)</f>
        <v>6710.5794118730691</v>
      </c>
      <c r="I179">
        <f>26238*(1.01^10)</f>
        <v>28983.07532653919</v>
      </c>
      <c r="J179" t="s">
        <v>805</v>
      </c>
      <c r="K179">
        <f t="shared" si="2"/>
        <v>184.30387874821704</v>
      </c>
    </row>
    <row r="180" spans="1:11" x14ac:dyDescent="0.2">
      <c r="A180" t="s">
        <v>377</v>
      </c>
      <c r="B180" t="s">
        <v>799</v>
      </c>
      <c r="C180" t="s">
        <v>807</v>
      </c>
      <c r="D180" t="s">
        <v>808</v>
      </c>
      <c r="E180" t="s">
        <v>809</v>
      </c>
      <c r="F180" t="s">
        <v>274</v>
      </c>
      <c r="G180" t="s">
        <v>12</v>
      </c>
      <c r="H180">
        <f>10346*(1.01^10)</f>
        <v>11428.420509504323</v>
      </c>
      <c r="I180">
        <f>43062*(1.01^10)</f>
        <v>47567.237964457301</v>
      </c>
      <c r="J180" t="s">
        <v>810</v>
      </c>
      <c r="K180">
        <f t="shared" si="2"/>
        <v>209.28422328970962</v>
      </c>
    </row>
    <row r="181" spans="1:11" x14ac:dyDescent="0.2">
      <c r="A181" t="s">
        <v>377</v>
      </c>
      <c r="B181" t="s">
        <v>799</v>
      </c>
      <c r="C181" t="s">
        <v>812</v>
      </c>
      <c r="D181" t="s">
        <v>813</v>
      </c>
      <c r="E181" t="s">
        <v>814</v>
      </c>
      <c r="F181" t="s">
        <v>72</v>
      </c>
      <c r="G181" t="s">
        <v>12</v>
      </c>
      <c r="H181">
        <f>7354*(1.01^10)</f>
        <v>8123.3911102739994</v>
      </c>
      <c r="I181">
        <f>35379*(1.01^10)</f>
        <v>39080.426174923014</v>
      </c>
      <c r="J181" t="s">
        <v>815</v>
      </c>
      <c r="K181">
        <f t="shared" si="2"/>
        <v>158.06247720911369</v>
      </c>
    </row>
    <row r="182" spans="1:11" x14ac:dyDescent="0.2">
      <c r="A182" t="s">
        <v>377</v>
      </c>
      <c r="B182" t="s">
        <v>799</v>
      </c>
      <c r="C182" t="s">
        <v>816</v>
      </c>
      <c r="D182" t="s">
        <v>817</v>
      </c>
      <c r="E182" t="s">
        <v>464</v>
      </c>
      <c r="F182" t="s">
        <v>51</v>
      </c>
      <c r="G182" t="s">
        <v>12</v>
      </c>
      <c r="H182">
        <f>17594*(1.01^10)</f>
        <v>19434.721674484736</v>
      </c>
      <c r="I182">
        <f>84382*(1.01^10)</f>
        <v>93210.224186448278</v>
      </c>
      <c r="J182" t="s">
        <v>818</v>
      </c>
      <c r="K182">
        <f t="shared" si="2"/>
        <v>261.38593434225538</v>
      </c>
    </row>
    <row r="183" spans="1:11" x14ac:dyDescent="0.2">
      <c r="A183" t="s">
        <v>377</v>
      </c>
      <c r="B183" t="s">
        <v>799</v>
      </c>
      <c r="C183" t="s">
        <v>820</v>
      </c>
      <c r="D183" t="s">
        <v>821</v>
      </c>
      <c r="E183" t="s">
        <v>24</v>
      </c>
      <c r="F183" t="s">
        <v>24</v>
      </c>
      <c r="G183" t="s">
        <v>12</v>
      </c>
      <c r="H183">
        <f>46306*(1.01^10)</f>
        <v>51150.63213929125</v>
      </c>
      <c r="I183">
        <f>169578*(1.01^10)</f>
        <v>187319.61078298127</v>
      </c>
      <c r="J183" t="s">
        <v>822</v>
      </c>
      <c r="K183">
        <f t="shared" si="2"/>
        <v>5300.4983243627967</v>
      </c>
    </row>
    <row r="184" spans="1:11" x14ac:dyDescent="0.2">
      <c r="A184" t="s">
        <v>377</v>
      </c>
      <c r="B184" t="s">
        <v>799</v>
      </c>
      <c r="C184" t="s">
        <v>823</v>
      </c>
      <c r="D184" t="s">
        <v>824</v>
      </c>
      <c r="E184" t="s">
        <v>612</v>
      </c>
      <c r="F184" t="s">
        <v>158</v>
      </c>
      <c r="G184" t="s">
        <v>24</v>
      </c>
      <c r="H184">
        <f>2556*(1.01^10)</f>
        <v>2823.4141525510395</v>
      </c>
      <c r="I184">
        <f>13398*(1.01^10)</f>
        <v>14799.727236259321</v>
      </c>
      <c r="J184" t="s">
        <v>825</v>
      </c>
      <c r="K184">
        <f t="shared" si="2"/>
        <v>138.87823282000394</v>
      </c>
    </row>
    <row r="185" spans="1:11" x14ac:dyDescent="0.2">
      <c r="A185" t="s">
        <v>377</v>
      </c>
      <c r="B185" t="s">
        <v>799</v>
      </c>
      <c r="C185" t="s">
        <v>826</v>
      </c>
      <c r="D185" t="s">
        <v>827</v>
      </c>
      <c r="E185" t="s">
        <v>828</v>
      </c>
      <c r="F185" t="s">
        <v>829</v>
      </c>
      <c r="G185" t="s">
        <v>12</v>
      </c>
      <c r="H185">
        <f>17469*(1.01^10)</f>
        <v>19296.643908808335</v>
      </c>
      <c r="I185">
        <f>84684*(1.01^10)</f>
        <v>93543.820068322457</v>
      </c>
      <c r="J185" t="s">
        <v>830</v>
      </c>
      <c r="K185">
        <f t="shared" si="2"/>
        <v>199.0026257408683</v>
      </c>
    </row>
    <row r="186" spans="1:11" x14ac:dyDescent="0.2">
      <c r="A186" t="s">
        <v>377</v>
      </c>
      <c r="B186" t="s">
        <v>799</v>
      </c>
      <c r="C186" t="s">
        <v>831</v>
      </c>
      <c r="D186" t="s">
        <v>832</v>
      </c>
      <c r="E186" t="s">
        <v>833</v>
      </c>
      <c r="F186" t="s">
        <v>51</v>
      </c>
      <c r="G186" t="s">
        <v>12</v>
      </c>
      <c r="H186">
        <f>6640*(1.01^10)</f>
        <v>7334.6909127303998</v>
      </c>
      <c r="I186">
        <f>31118*(1.01^10)</f>
        <v>34373.631298545872</v>
      </c>
      <c r="J186" t="s">
        <v>834</v>
      </c>
      <c r="K186">
        <f t="shared" si="2"/>
        <v>107.38489415636542</v>
      </c>
    </row>
    <row r="187" spans="1:11" x14ac:dyDescent="0.2">
      <c r="A187" t="s">
        <v>377</v>
      </c>
      <c r="B187" t="s">
        <v>799</v>
      </c>
      <c r="C187" t="s">
        <v>835</v>
      </c>
      <c r="D187" t="s">
        <v>836</v>
      </c>
      <c r="E187" t="s">
        <v>837</v>
      </c>
      <c r="F187" t="s">
        <v>97</v>
      </c>
      <c r="G187" t="s">
        <v>24</v>
      </c>
      <c r="H187">
        <f>3139*(1.01^10)</f>
        <v>3467.4088516657716</v>
      </c>
      <c r="I187">
        <f>19460*(1.01^10)</f>
        <v>21495.946560502045</v>
      </c>
      <c r="J187" t="s">
        <v>838</v>
      </c>
      <c r="K187">
        <f t="shared" si="2"/>
        <v>129.19892111000351</v>
      </c>
    </row>
    <row r="188" spans="1:11" x14ac:dyDescent="0.2">
      <c r="A188" t="s">
        <v>377</v>
      </c>
      <c r="B188" t="s">
        <v>799</v>
      </c>
      <c r="C188" t="s">
        <v>840</v>
      </c>
      <c r="D188" t="s">
        <v>841</v>
      </c>
      <c r="E188" t="s">
        <v>811</v>
      </c>
      <c r="F188" t="s">
        <v>837</v>
      </c>
      <c r="G188" t="s">
        <v>24</v>
      </c>
      <c r="H188">
        <f>6804*(1.01^10)</f>
        <v>7515.848941297837</v>
      </c>
      <c r="I188">
        <f>36517*(1.01^10)</f>
        <v>40337.486153640966</v>
      </c>
      <c r="J188" t="s">
        <v>842</v>
      </c>
      <c r="K188">
        <f t="shared" si="2"/>
        <v>113.42116202593191</v>
      </c>
    </row>
    <row r="189" spans="1:11" x14ac:dyDescent="0.2">
      <c r="A189" t="s">
        <v>377</v>
      </c>
      <c r="B189" t="s">
        <v>799</v>
      </c>
      <c r="C189" t="s">
        <v>843</v>
      </c>
      <c r="D189" t="s">
        <v>844</v>
      </c>
      <c r="E189" t="s">
        <v>58</v>
      </c>
      <c r="F189" t="s">
        <v>47</v>
      </c>
      <c r="G189" t="s">
        <v>12</v>
      </c>
      <c r="H189">
        <f>8219*(1.01^10)</f>
        <v>9078.8892487546909</v>
      </c>
      <c r="I189">
        <f>37637*(1.01^10)</f>
        <v>41574.662934101514</v>
      </c>
      <c r="J189" t="s">
        <v>845</v>
      </c>
      <c r="K189">
        <f t="shared" si="2"/>
        <v>133.48907980236152</v>
      </c>
    </row>
    <row r="190" spans="1:11" x14ac:dyDescent="0.2">
      <c r="A190" t="s">
        <v>377</v>
      </c>
      <c r="B190" t="s">
        <v>799</v>
      </c>
      <c r="C190" t="s">
        <v>846</v>
      </c>
      <c r="D190" t="s">
        <v>847</v>
      </c>
      <c r="E190" t="s">
        <v>848</v>
      </c>
      <c r="F190" t="s">
        <v>374</v>
      </c>
      <c r="G190" t="s">
        <v>12</v>
      </c>
      <c r="H190">
        <f>8940*(1.01^10)</f>
        <v>9875.321801176171</v>
      </c>
      <c r="I190">
        <f>39205*(1.01^10)</f>
        <v>43306.710426746286</v>
      </c>
      <c r="J190" t="s">
        <v>849</v>
      </c>
      <c r="K190">
        <f t="shared" si="2"/>
        <v>177.75104103222355</v>
      </c>
    </row>
    <row r="191" spans="1:11" x14ac:dyDescent="0.2">
      <c r="A191" t="s">
        <v>377</v>
      </c>
      <c r="B191" t="s">
        <v>799</v>
      </c>
      <c r="C191" t="s">
        <v>850</v>
      </c>
      <c r="D191" t="s">
        <v>851</v>
      </c>
      <c r="E191" t="s">
        <v>185</v>
      </c>
      <c r="F191" t="s">
        <v>92</v>
      </c>
      <c r="G191" t="s">
        <v>24</v>
      </c>
      <c r="H191">
        <f>3130*(1.01^10)</f>
        <v>3457.4672525370706</v>
      </c>
      <c r="I191">
        <f>13806*(1.01^10)</f>
        <v>15250.413063427093</v>
      </c>
      <c r="J191" t="s">
        <v>852</v>
      </c>
      <c r="K191">
        <f t="shared" si="2"/>
        <v>218.66893936749167</v>
      </c>
    </row>
    <row r="192" spans="1:11" x14ac:dyDescent="0.2">
      <c r="A192" t="s">
        <v>377</v>
      </c>
      <c r="B192" t="s">
        <v>799</v>
      </c>
      <c r="C192" t="s">
        <v>853</v>
      </c>
      <c r="D192" t="s">
        <v>854</v>
      </c>
      <c r="E192" t="s">
        <v>761</v>
      </c>
      <c r="F192" t="s">
        <v>458</v>
      </c>
      <c r="G192" t="s">
        <v>12</v>
      </c>
      <c r="H192">
        <f>11002*(1.01^10)</f>
        <v>12153.052623774074</v>
      </c>
      <c r="I192">
        <f>49490*(1.01^10)</f>
        <v>54667.74898660052</v>
      </c>
      <c r="J192" t="s">
        <v>855</v>
      </c>
      <c r="K192">
        <f t="shared" si="2"/>
        <v>235.77237352436788</v>
      </c>
    </row>
    <row r="193" spans="1:11" x14ac:dyDescent="0.2">
      <c r="A193" t="s">
        <v>377</v>
      </c>
      <c r="B193" t="s">
        <v>799</v>
      </c>
      <c r="C193" t="s">
        <v>857</v>
      </c>
      <c r="D193" t="s">
        <v>858</v>
      </c>
      <c r="E193" t="s">
        <v>315</v>
      </c>
      <c r="F193" t="s">
        <v>72</v>
      </c>
      <c r="G193" t="s">
        <v>24</v>
      </c>
      <c r="H193">
        <f>9089*(1.01^10)</f>
        <v>10039.91049786244</v>
      </c>
      <c r="I193">
        <f>46142*(1.01^10)</f>
        <v>50969.474110723808</v>
      </c>
      <c r="J193" t="s">
        <v>859</v>
      </c>
      <c r="K193">
        <f t="shared" si="2"/>
        <v>78.982225319699523</v>
      </c>
    </row>
    <row r="194" spans="1:11" x14ac:dyDescent="0.2">
      <c r="A194" t="s">
        <v>377</v>
      </c>
      <c r="B194" t="s">
        <v>799</v>
      </c>
      <c r="C194" t="s">
        <v>860</v>
      </c>
      <c r="D194" t="s">
        <v>861</v>
      </c>
      <c r="E194" t="s">
        <v>405</v>
      </c>
      <c r="F194" t="s">
        <v>405</v>
      </c>
      <c r="G194" t="s">
        <v>24</v>
      </c>
      <c r="H194">
        <f>1215*(1.01^10)</f>
        <v>1342.1158823746139</v>
      </c>
      <c r="I194">
        <f>6372*(1.01^10)</f>
        <v>7038.6521831201962</v>
      </c>
      <c r="J194" t="s">
        <v>862</v>
      </c>
      <c r="K194">
        <f t="shared" si="2"/>
        <v>19.863284612094258</v>
      </c>
    </row>
    <row r="195" spans="1:11" x14ac:dyDescent="0.2">
      <c r="A195" t="s">
        <v>377</v>
      </c>
      <c r="B195" t="s">
        <v>863</v>
      </c>
      <c r="C195" t="s">
        <v>864</v>
      </c>
      <c r="D195" t="s">
        <v>865</v>
      </c>
      <c r="E195" t="s">
        <v>44</v>
      </c>
      <c r="F195" t="s">
        <v>185</v>
      </c>
      <c r="G195" t="s">
        <v>24</v>
      </c>
      <c r="H195">
        <f>1113*(1.01^10)</f>
        <v>1229.4444255826709</v>
      </c>
      <c r="I195">
        <f>4659*(1.01^10)</f>
        <v>5146.4344822908033</v>
      </c>
      <c r="J195" t="s">
        <v>867</v>
      </c>
      <c r="K195">
        <f t="shared" ref="K195:K258" si="3">I195/J195</f>
        <v>9.306391468880296</v>
      </c>
    </row>
    <row r="196" spans="1:11" x14ac:dyDescent="0.2">
      <c r="A196" t="s">
        <v>377</v>
      </c>
      <c r="B196" t="s">
        <v>863</v>
      </c>
      <c r="C196" t="s">
        <v>868</v>
      </c>
      <c r="D196" t="s">
        <v>869</v>
      </c>
      <c r="E196" t="s">
        <v>56</v>
      </c>
      <c r="F196" t="s">
        <v>537</v>
      </c>
      <c r="G196" t="s">
        <v>24</v>
      </c>
      <c r="H196">
        <f>1987*(1.01^10)</f>
        <v>2194.8841631920636</v>
      </c>
      <c r="I196">
        <f>8309*(1.01^10)</f>
        <v>9178.3052400417</v>
      </c>
      <c r="J196" t="s">
        <v>870</v>
      </c>
      <c r="K196">
        <f t="shared" si="3"/>
        <v>7.1149653023579074</v>
      </c>
    </row>
    <row r="197" spans="1:11" x14ac:dyDescent="0.2">
      <c r="A197" t="s">
        <v>377</v>
      </c>
      <c r="B197" t="s">
        <v>863</v>
      </c>
      <c r="C197" t="s">
        <v>871</v>
      </c>
      <c r="D197" t="s">
        <v>872</v>
      </c>
      <c r="E197" t="s">
        <v>47</v>
      </c>
      <c r="F197" t="s">
        <v>324</v>
      </c>
      <c r="G197" t="s">
        <v>24</v>
      </c>
      <c r="H197">
        <f>2371*(1.01^10)</f>
        <v>2619.0590593499664</v>
      </c>
      <c r="I197">
        <f>10238*(1.01^10)</f>
        <v>11309.121319959913</v>
      </c>
      <c r="J197" t="s">
        <v>873</v>
      </c>
      <c r="K197">
        <f t="shared" si="3"/>
        <v>6.8127236867228396</v>
      </c>
    </row>
    <row r="198" spans="1:11" x14ac:dyDescent="0.2">
      <c r="A198" t="s">
        <v>377</v>
      </c>
      <c r="B198" t="s">
        <v>863</v>
      </c>
      <c r="C198" t="s">
        <v>874</v>
      </c>
      <c r="D198" t="s">
        <v>875</v>
      </c>
      <c r="E198" t="s">
        <v>16</v>
      </c>
      <c r="F198" t="s">
        <v>789</v>
      </c>
      <c r="G198" t="s">
        <v>24</v>
      </c>
      <c r="H198">
        <f>4759*(1.01^10)</f>
        <v>5256.896694831923</v>
      </c>
      <c r="I198">
        <f>19190*(1.01^10)</f>
        <v>21197.698586641018</v>
      </c>
      <c r="J198" t="s">
        <v>876</v>
      </c>
      <c r="K198">
        <f t="shared" si="3"/>
        <v>56.324428289201585</v>
      </c>
    </row>
    <row r="199" spans="1:11" x14ac:dyDescent="0.2">
      <c r="A199" t="s">
        <v>377</v>
      </c>
      <c r="B199" t="s">
        <v>863</v>
      </c>
      <c r="C199" t="s">
        <v>877</v>
      </c>
      <c r="D199" t="s">
        <v>878</v>
      </c>
      <c r="E199" t="s">
        <v>879</v>
      </c>
      <c r="F199" t="s">
        <v>489</v>
      </c>
      <c r="G199" t="s">
        <v>24</v>
      </c>
      <c r="H199">
        <f>6681*(1.01^10)</f>
        <v>7379.9804198722586</v>
      </c>
      <c r="I199">
        <f>27683*(1.01^10)</f>
        <v>30579.25429775838</v>
      </c>
      <c r="J199" t="s">
        <v>880</v>
      </c>
      <c r="K199">
        <f t="shared" si="3"/>
        <v>26.792883939437125</v>
      </c>
    </row>
    <row r="200" spans="1:11" x14ac:dyDescent="0.2">
      <c r="A200" t="s">
        <v>377</v>
      </c>
      <c r="B200" t="s">
        <v>863</v>
      </c>
      <c r="C200" t="s">
        <v>881</v>
      </c>
      <c r="D200" t="s">
        <v>882</v>
      </c>
      <c r="E200" t="s">
        <v>72</v>
      </c>
      <c r="F200" t="s">
        <v>542</v>
      </c>
      <c r="G200" t="s">
        <v>24</v>
      </c>
      <c r="H200">
        <f>3065*(1.01^10)</f>
        <v>3385.6668143853426</v>
      </c>
      <c r="I200">
        <f>14042*(1.01^10)</f>
        <v>15511.103885024137</v>
      </c>
      <c r="J200" t="s">
        <v>883</v>
      </c>
      <c r="K200">
        <f t="shared" si="3"/>
        <v>11.23724318461827</v>
      </c>
    </row>
    <row r="201" spans="1:11" x14ac:dyDescent="0.2">
      <c r="A201" t="s">
        <v>884</v>
      </c>
      <c r="B201" t="s">
        <v>885</v>
      </c>
      <c r="C201" t="s">
        <v>886</v>
      </c>
      <c r="D201" t="s">
        <v>887</v>
      </c>
      <c r="E201" t="s">
        <v>313</v>
      </c>
      <c r="F201" t="s">
        <v>24</v>
      </c>
      <c r="G201" t="s">
        <v>12</v>
      </c>
      <c r="H201">
        <f>10825*(1.01^10)</f>
        <v>11957.534507576291</v>
      </c>
      <c r="I201">
        <f>54186*(1.01^10)</f>
        <v>59855.054487531539</v>
      </c>
      <c r="J201" t="s">
        <v>888</v>
      </c>
      <c r="K201">
        <f t="shared" si="3"/>
        <v>226.79781672979902</v>
      </c>
    </row>
    <row r="202" spans="1:11" x14ac:dyDescent="0.2">
      <c r="A202" t="s">
        <v>884</v>
      </c>
      <c r="B202" t="s">
        <v>885</v>
      </c>
      <c r="C202" t="s">
        <v>889</v>
      </c>
      <c r="D202" t="s">
        <v>890</v>
      </c>
      <c r="E202" t="s">
        <v>891</v>
      </c>
      <c r="F202" t="s">
        <v>520</v>
      </c>
      <c r="G202" t="s">
        <v>458</v>
      </c>
      <c r="H202">
        <f>123734*(1.01^10)</f>
        <v>136679.31406562999</v>
      </c>
      <c r="I202">
        <f>622412*(1.01^10)</f>
        <v>687530.06632143876</v>
      </c>
      <c r="J202" t="s">
        <v>892</v>
      </c>
      <c r="K202">
        <f t="shared" si="3"/>
        <v>1000.2287032269276</v>
      </c>
    </row>
    <row r="203" spans="1:11" x14ac:dyDescent="0.2">
      <c r="A203" t="s">
        <v>884</v>
      </c>
      <c r="B203" t="s">
        <v>885</v>
      </c>
      <c r="C203" t="s">
        <v>893</v>
      </c>
      <c r="D203" t="s">
        <v>894</v>
      </c>
      <c r="E203" t="s">
        <v>895</v>
      </c>
      <c r="F203" t="s">
        <v>829</v>
      </c>
      <c r="G203" t="s">
        <v>6</v>
      </c>
      <c r="H203">
        <f>156505*(1.01^10)</f>
        <v>172878.8857374806</v>
      </c>
      <c r="I203">
        <f>821539*(1.01^10)</f>
        <v>907490.15628819575</v>
      </c>
      <c r="J203" t="s">
        <v>896</v>
      </c>
      <c r="K203">
        <f t="shared" si="3"/>
        <v>670.92099564101704</v>
      </c>
    </row>
    <row r="204" spans="1:11" x14ac:dyDescent="0.2">
      <c r="A204" t="s">
        <v>884</v>
      </c>
      <c r="B204" t="s">
        <v>885</v>
      </c>
      <c r="C204" t="s">
        <v>898</v>
      </c>
      <c r="D204" t="s">
        <v>899</v>
      </c>
      <c r="E204" t="s">
        <v>900</v>
      </c>
      <c r="F204" t="s">
        <v>17</v>
      </c>
      <c r="G204" t="s">
        <v>5</v>
      </c>
      <c r="H204">
        <f>129555*(1.01^10)</f>
        <v>143109.31945764864</v>
      </c>
      <c r="I204">
        <f>675891*(1.01^10)</f>
        <v>746604.15296630457</v>
      </c>
      <c r="J204" t="s">
        <v>901</v>
      </c>
      <c r="K204">
        <f t="shared" si="3"/>
        <v>785.26479387597146</v>
      </c>
    </row>
    <row r="205" spans="1:11" x14ac:dyDescent="0.2">
      <c r="A205" t="s">
        <v>884</v>
      </c>
      <c r="B205" t="s">
        <v>885</v>
      </c>
      <c r="C205" t="s">
        <v>902</v>
      </c>
      <c r="D205" t="s">
        <v>903</v>
      </c>
      <c r="E205" t="s">
        <v>4</v>
      </c>
      <c r="F205" t="s">
        <v>5</v>
      </c>
      <c r="G205" t="s">
        <v>17</v>
      </c>
      <c r="H205">
        <f>23047*(1.01^10)</f>
        <v>25458.226124352037</v>
      </c>
      <c r="I205">
        <f>124295*(1.01^10)</f>
        <v>137299.00707798571</v>
      </c>
      <c r="J205" t="s">
        <v>904</v>
      </c>
      <c r="K205">
        <f t="shared" si="3"/>
        <v>463.31905535399454</v>
      </c>
    </row>
    <row r="206" spans="1:11" x14ac:dyDescent="0.2">
      <c r="A206" t="s">
        <v>884</v>
      </c>
      <c r="B206" t="s">
        <v>906</v>
      </c>
      <c r="C206" t="s">
        <v>907</v>
      </c>
      <c r="D206" t="s">
        <v>908</v>
      </c>
      <c r="E206" t="s">
        <v>172</v>
      </c>
      <c r="F206" t="s">
        <v>6</v>
      </c>
      <c r="G206" t="s">
        <v>17</v>
      </c>
      <c r="H206">
        <f>22689*(1.01^10)</f>
        <v>25062.771403454826</v>
      </c>
      <c r="I206">
        <f>104354*(1.01^10)</f>
        <v>115271.73727516086</v>
      </c>
      <c r="J206" t="s">
        <v>909</v>
      </c>
      <c r="K206">
        <f t="shared" si="3"/>
        <v>490.53234667973641</v>
      </c>
    </row>
    <row r="207" spans="1:11" x14ac:dyDescent="0.2">
      <c r="A207" t="s">
        <v>884</v>
      </c>
      <c r="B207" t="s">
        <v>906</v>
      </c>
      <c r="C207" t="s">
        <v>911</v>
      </c>
      <c r="D207" t="s">
        <v>912</v>
      </c>
      <c r="E207" t="s">
        <v>416</v>
      </c>
      <c r="F207" t="s">
        <v>356</v>
      </c>
      <c r="G207" t="s">
        <v>11</v>
      </c>
      <c r="H207">
        <f>69986*(1.01^10)</f>
        <v>77308.08406902857</v>
      </c>
      <c r="I207">
        <f>341631*(1.01^10)</f>
        <v>377373.1613263553</v>
      </c>
      <c r="J207" t="s">
        <v>913</v>
      </c>
      <c r="K207">
        <f t="shared" si="3"/>
        <v>574.78628201784306</v>
      </c>
    </row>
    <row r="208" spans="1:11" x14ac:dyDescent="0.2">
      <c r="A208" t="s">
        <v>884</v>
      </c>
      <c r="B208" t="s">
        <v>906</v>
      </c>
      <c r="C208" t="s">
        <v>915</v>
      </c>
      <c r="D208" t="s">
        <v>916</v>
      </c>
      <c r="E208" t="s">
        <v>676</v>
      </c>
      <c r="F208" t="s">
        <v>829</v>
      </c>
      <c r="G208" t="s">
        <v>12</v>
      </c>
      <c r="H208">
        <f>23231*(1.01^10)</f>
        <v>25661.476595427699</v>
      </c>
      <c r="I208">
        <f>121816*(1.01^10)</f>
        <v>134560.64882909131</v>
      </c>
      <c r="J208" t="s">
        <v>917</v>
      </c>
      <c r="K208">
        <f t="shared" si="3"/>
        <v>302.43835701644588</v>
      </c>
    </row>
    <row r="209" spans="1:11" x14ac:dyDescent="0.2">
      <c r="A209" t="s">
        <v>884</v>
      </c>
      <c r="B209" t="s">
        <v>906</v>
      </c>
      <c r="C209" t="s">
        <v>919</v>
      </c>
      <c r="D209" t="s">
        <v>920</v>
      </c>
      <c r="E209" t="s">
        <v>28</v>
      </c>
      <c r="F209" t="s">
        <v>405</v>
      </c>
      <c r="G209" t="s">
        <v>11</v>
      </c>
      <c r="H209">
        <f>52083*(1.01^10)</f>
        <v>57532.034157791779</v>
      </c>
      <c r="I209">
        <f>247367*(1.01^10)</f>
        <v>273247.06129659346</v>
      </c>
      <c r="J209" t="s">
        <v>921</v>
      </c>
      <c r="K209">
        <f t="shared" si="3"/>
        <v>921.43673163845813</v>
      </c>
    </row>
    <row r="210" spans="1:11" x14ac:dyDescent="0.2">
      <c r="A210" t="s">
        <v>884</v>
      </c>
      <c r="B210" t="s">
        <v>922</v>
      </c>
      <c r="C210" t="s">
        <v>923</v>
      </c>
      <c r="D210" t="s">
        <v>924</v>
      </c>
      <c r="E210" t="s">
        <v>123</v>
      </c>
      <c r="F210" t="s">
        <v>11</v>
      </c>
      <c r="G210" t="s">
        <v>17</v>
      </c>
      <c r="H210">
        <f>32743*(1.01^10)</f>
        <v>36168.642252339079</v>
      </c>
      <c r="I210">
        <f>166532*(1.01^10)</f>
        <v>183954.93178897875</v>
      </c>
      <c r="J210" t="s">
        <v>925</v>
      </c>
      <c r="K210">
        <f t="shared" si="3"/>
        <v>427.21452396499018</v>
      </c>
    </row>
    <row r="211" spans="1:11" x14ac:dyDescent="0.2">
      <c r="A211" t="s">
        <v>884</v>
      </c>
      <c r="B211" t="s">
        <v>922</v>
      </c>
      <c r="C211" t="s">
        <v>927</v>
      </c>
      <c r="D211" t="s">
        <v>928</v>
      </c>
      <c r="E211" t="s">
        <v>568</v>
      </c>
      <c r="F211" t="s">
        <v>12</v>
      </c>
      <c r="G211" t="s">
        <v>12</v>
      </c>
      <c r="H211">
        <f>42287*(1.01^10)</f>
        <v>46711.155817263614</v>
      </c>
      <c r="I211">
        <f>208157*(1.01^10)</f>
        <v>229934.82775922015</v>
      </c>
      <c r="J211" t="s">
        <v>929</v>
      </c>
      <c r="K211">
        <f t="shared" si="3"/>
        <v>516.19527232796247</v>
      </c>
    </row>
    <row r="212" spans="1:11" x14ac:dyDescent="0.2">
      <c r="A212" t="s">
        <v>884</v>
      </c>
      <c r="B212" t="s">
        <v>922</v>
      </c>
      <c r="C212" t="s">
        <v>931</v>
      </c>
      <c r="D212" t="s">
        <v>932</v>
      </c>
      <c r="E212" t="s">
        <v>933</v>
      </c>
      <c r="F212" t="s">
        <v>108</v>
      </c>
      <c r="G212" t="s">
        <v>92</v>
      </c>
      <c r="H212">
        <f>80057*(1.01^10)</f>
        <v>88432.73349404482</v>
      </c>
      <c r="I212">
        <f>381732*(1.01^10)</f>
        <v>421669.61317746999</v>
      </c>
      <c r="J212" t="s">
        <v>934</v>
      </c>
      <c r="K212">
        <f t="shared" si="3"/>
        <v>566.28063401874783</v>
      </c>
    </row>
    <row r="213" spans="1:11" x14ac:dyDescent="0.2">
      <c r="A213" t="s">
        <v>884</v>
      </c>
      <c r="B213" t="s">
        <v>922</v>
      </c>
      <c r="C213" t="s">
        <v>936</v>
      </c>
      <c r="D213" t="s">
        <v>937</v>
      </c>
      <c r="E213" t="s">
        <v>771</v>
      </c>
      <c r="F213" t="s">
        <v>12</v>
      </c>
      <c r="G213" t="s">
        <v>744</v>
      </c>
      <c r="H213">
        <f>245989*(1.01^10)</f>
        <v>271724.89200777683</v>
      </c>
      <c r="I213">
        <f>1145692*(1.01^10)</f>
        <v>1265556.7321066139</v>
      </c>
      <c r="J213" t="s">
        <v>938</v>
      </c>
      <c r="K213">
        <f t="shared" si="3"/>
        <v>2703.8786399374603</v>
      </c>
    </row>
    <row r="214" spans="1:11" x14ac:dyDescent="0.2">
      <c r="A214" t="s">
        <v>884</v>
      </c>
      <c r="B214" t="s">
        <v>922</v>
      </c>
      <c r="C214" t="s">
        <v>939</v>
      </c>
      <c r="D214" t="s">
        <v>940</v>
      </c>
      <c r="E214" t="s">
        <v>621</v>
      </c>
      <c r="F214" t="s">
        <v>11</v>
      </c>
      <c r="G214" t="s">
        <v>5</v>
      </c>
      <c r="H214">
        <f>60559*(1.01^10)</f>
        <v>66894.811292777144</v>
      </c>
      <c r="I214">
        <f>291477*(1.01^10)</f>
        <v>321971.94324848172</v>
      </c>
      <c r="J214" t="s">
        <v>941</v>
      </c>
      <c r="K214">
        <f t="shared" si="3"/>
        <v>601.48533271845815</v>
      </c>
    </row>
    <row r="215" spans="1:11" x14ac:dyDescent="0.2">
      <c r="A215" t="s">
        <v>884</v>
      </c>
      <c r="B215" t="s">
        <v>943</v>
      </c>
      <c r="C215" t="s">
        <v>944</v>
      </c>
      <c r="D215" t="s">
        <v>945</v>
      </c>
      <c r="E215" t="s">
        <v>946</v>
      </c>
      <c r="F215" t="s">
        <v>356</v>
      </c>
      <c r="G215" t="s">
        <v>11</v>
      </c>
      <c r="H215">
        <f>77198*(1.01^10)</f>
        <v>85274.618837494185</v>
      </c>
      <c r="I215">
        <f>360505*(1.01^10)</f>
        <v>398221.79932136636</v>
      </c>
      <c r="J215" t="s">
        <v>947</v>
      </c>
      <c r="K215">
        <f t="shared" si="3"/>
        <v>472.73760337670757</v>
      </c>
    </row>
    <row r="216" spans="1:11" x14ac:dyDescent="0.2">
      <c r="A216" t="s">
        <v>884</v>
      </c>
      <c r="B216" t="s">
        <v>943</v>
      </c>
      <c r="C216" t="s">
        <v>949</v>
      </c>
      <c r="D216" t="s">
        <v>950</v>
      </c>
      <c r="E216" t="s">
        <v>565</v>
      </c>
      <c r="F216" t="s">
        <v>11</v>
      </c>
      <c r="G216" t="s">
        <v>5</v>
      </c>
      <c r="H216">
        <f>70410*(1.01^10)</f>
        <v>77776.443850202922</v>
      </c>
      <c r="I216">
        <f>335063*(1.01^10)</f>
        <v>370118.00320665451</v>
      </c>
      <c r="J216" t="s">
        <v>951</v>
      </c>
      <c r="K216">
        <f t="shared" si="3"/>
        <v>588.44800512222002</v>
      </c>
    </row>
    <row r="217" spans="1:11" x14ac:dyDescent="0.2">
      <c r="A217" t="s">
        <v>884</v>
      </c>
      <c r="B217" t="s">
        <v>943</v>
      </c>
      <c r="C217" t="s">
        <v>953</v>
      </c>
      <c r="D217" t="s">
        <v>954</v>
      </c>
      <c r="E217" t="s">
        <v>955</v>
      </c>
      <c r="F217" t="s">
        <v>152</v>
      </c>
      <c r="G217" t="s">
        <v>5</v>
      </c>
      <c r="H217">
        <f>119141*(1.01^10)</f>
        <v>131605.78464361635</v>
      </c>
      <c r="I217">
        <f>560346*(1.01^10)</f>
        <v>618970.58948566695</v>
      </c>
      <c r="J217" t="s">
        <v>956</v>
      </c>
      <c r="K217">
        <f t="shared" si="3"/>
        <v>553.15319657986038</v>
      </c>
    </row>
    <row r="218" spans="1:11" x14ac:dyDescent="0.2">
      <c r="A218" t="s">
        <v>884</v>
      </c>
      <c r="B218" t="s">
        <v>943</v>
      </c>
      <c r="C218" t="s">
        <v>958</v>
      </c>
      <c r="D218" t="s">
        <v>959</v>
      </c>
      <c r="E218" t="s">
        <v>960</v>
      </c>
      <c r="F218" t="s">
        <v>12</v>
      </c>
      <c r="G218" t="s">
        <v>17</v>
      </c>
      <c r="H218">
        <f>70245*(1.01^10)</f>
        <v>77594.181199510072</v>
      </c>
      <c r="I218">
        <f>330711*(1.01^10)</f>
        <v>365310.68771686492</v>
      </c>
      <c r="J218" t="s">
        <v>961</v>
      </c>
      <c r="K218">
        <f t="shared" si="3"/>
        <v>459.12423727761757</v>
      </c>
    </row>
    <row r="219" spans="1:11" x14ac:dyDescent="0.2">
      <c r="A219" t="s">
        <v>884</v>
      </c>
      <c r="B219" t="s">
        <v>963</v>
      </c>
      <c r="C219" t="s">
        <v>964</v>
      </c>
      <c r="D219" t="s">
        <v>965</v>
      </c>
      <c r="E219" t="s">
        <v>966</v>
      </c>
      <c r="F219" t="s">
        <v>744</v>
      </c>
      <c r="G219" t="s">
        <v>158</v>
      </c>
      <c r="H219">
        <f>89606*(1.01^10)</f>
        <v>98980.770169596406</v>
      </c>
      <c r="I219">
        <f>423546*(1.01^10)</f>
        <v>467858.28272941412</v>
      </c>
      <c r="J219" t="s">
        <v>967</v>
      </c>
      <c r="K219">
        <f t="shared" si="3"/>
        <v>603.93181001894675</v>
      </c>
    </row>
    <row r="220" spans="1:11" x14ac:dyDescent="0.2">
      <c r="A220" t="s">
        <v>884</v>
      </c>
      <c r="B220" t="s">
        <v>963</v>
      </c>
      <c r="C220" t="s">
        <v>969</v>
      </c>
      <c r="D220" t="s">
        <v>970</v>
      </c>
      <c r="E220" t="s">
        <v>971</v>
      </c>
      <c r="F220" t="s">
        <v>12</v>
      </c>
      <c r="G220" t="s">
        <v>17</v>
      </c>
      <c r="H220">
        <f>39894*(1.01^10)</f>
        <v>44067.7950711546</v>
      </c>
      <c r="I220">
        <f>188764*(1.01^10)</f>
        <v>208512.89088112066</v>
      </c>
      <c r="J220" t="s">
        <v>972</v>
      </c>
      <c r="K220">
        <f t="shared" si="3"/>
        <v>411.0121228719081</v>
      </c>
    </row>
    <row r="221" spans="1:11" x14ac:dyDescent="0.2">
      <c r="A221" t="s">
        <v>884</v>
      </c>
      <c r="B221" t="s">
        <v>974</v>
      </c>
      <c r="C221" t="s">
        <v>975</v>
      </c>
      <c r="D221" t="s">
        <v>976</v>
      </c>
      <c r="E221" t="s">
        <v>977</v>
      </c>
      <c r="F221" t="s">
        <v>24</v>
      </c>
      <c r="G221" t="s">
        <v>12</v>
      </c>
      <c r="H221">
        <f>18558*(1.01^10)</f>
        <v>20499.577403381139</v>
      </c>
      <c r="I221">
        <f>96163*(1.01^10)</f>
        <v>106223.77744591769</v>
      </c>
      <c r="J221" t="s">
        <v>978</v>
      </c>
      <c r="K221">
        <f t="shared" si="3"/>
        <v>471.36038219358988</v>
      </c>
    </row>
    <row r="222" spans="1:11" x14ac:dyDescent="0.2">
      <c r="A222" t="s">
        <v>884</v>
      </c>
      <c r="B222" t="s">
        <v>974</v>
      </c>
      <c r="C222" t="s">
        <v>980</v>
      </c>
      <c r="D222" t="s">
        <v>981</v>
      </c>
      <c r="E222" t="s">
        <v>982</v>
      </c>
      <c r="F222" t="s">
        <v>12</v>
      </c>
      <c r="G222" t="s">
        <v>12</v>
      </c>
      <c r="H222">
        <f>39387*(1.01^10)</f>
        <v>43507.751653571118</v>
      </c>
      <c r="I222">
        <f>202334*(1.01^10)</f>
        <v>223502.61312295072</v>
      </c>
      <c r="J222" t="s">
        <v>983</v>
      </c>
      <c r="K222">
        <f t="shared" si="3"/>
        <v>462.24664670127174</v>
      </c>
    </row>
    <row r="223" spans="1:11" x14ac:dyDescent="0.2">
      <c r="A223" t="s">
        <v>884</v>
      </c>
      <c r="B223" t="s">
        <v>974</v>
      </c>
      <c r="C223" t="s">
        <v>985</v>
      </c>
      <c r="D223" t="s">
        <v>986</v>
      </c>
      <c r="E223" t="s">
        <v>977</v>
      </c>
      <c r="F223" t="s">
        <v>17</v>
      </c>
      <c r="G223" t="s">
        <v>17</v>
      </c>
      <c r="H223">
        <f>42832*(1.01^10)</f>
        <v>47313.17487561272</v>
      </c>
      <c r="I223">
        <f>210628*(1.01^10)</f>
        <v>232664.34903111123</v>
      </c>
      <c r="J223" t="s">
        <v>987</v>
      </c>
      <c r="K223">
        <f t="shared" si="3"/>
        <v>859.03617495075423</v>
      </c>
    </row>
    <row r="224" spans="1:11" x14ac:dyDescent="0.2">
      <c r="A224" t="s">
        <v>884</v>
      </c>
      <c r="B224" t="s">
        <v>974</v>
      </c>
      <c r="C224" t="s">
        <v>988</v>
      </c>
      <c r="D224" t="s">
        <v>989</v>
      </c>
      <c r="E224" t="s">
        <v>777</v>
      </c>
      <c r="F224" t="s">
        <v>12</v>
      </c>
      <c r="G224" t="s">
        <v>12</v>
      </c>
      <c r="H224">
        <f>17323*(1.01^10)</f>
        <v>19135.369078498301</v>
      </c>
      <c r="I224">
        <f>91038*(1.01^10)</f>
        <v>100562.58905318526</v>
      </c>
      <c r="J224" t="s">
        <v>990</v>
      </c>
      <c r="K224">
        <f t="shared" si="3"/>
        <v>502.11537090751551</v>
      </c>
    </row>
    <row r="225" spans="1:11" x14ac:dyDescent="0.2">
      <c r="A225" t="s">
        <v>884</v>
      </c>
      <c r="B225" t="s">
        <v>991</v>
      </c>
      <c r="C225" t="s">
        <v>992</v>
      </c>
      <c r="D225" t="s">
        <v>993</v>
      </c>
      <c r="E225" t="s">
        <v>10</v>
      </c>
      <c r="F225" t="s">
        <v>5</v>
      </c>
      <c r="G225" t="s">
        <v>17</v>
      </c>
      <c r="H225">
        <f>43311*(1.01^10)</f>
        <v>47842.288873684687</v>
      </c>
      <c r="I225">
        <f>223385*(1.01^10)</f>
        <v>246756.01348498196</v>
      </c>
      <c r="J225" t="s">
        <v>994</v>
      </c>
      <c r="K225">
        <f t="shared" si="3"/>
        <v>501.9642470695685</v>
      </c>
    </row>
    <row r="226" spans="1:11" x14ac:dyDescent="0.2">
      <c r="A226" t="s">
        <v>884</v>
      </c>
      <c r="B226" t="s">
        <v>991</v>
      </c>
      <c r="C226" t="s">
        <v>996</v>
      </c>
      <c r="D226" t="s">
        <v>997</v>
      </c>
      <c r="E226" t="s">
        <v>998</v>
      </c>
      <c r="F226" t="s">
        <v>92</v>
      </c>
      <c r="G226" t="s">
        <v>12</v>
      </c>
      <c r="H226">
        <f>44917*(1.01^10)</f>
        <v>49616.312007095083</v>
      </c>
      <c r="I226">
        <f>222297*(1.01^10)</f>
        <v>245554.18461253459</v>
      </c>
      <c r="J226" t="s">
        <v>999</v>
      </c>
      <c r="K226">
        <f t="shared" si="3"/>
        <v>1156.1027850662799</v>
      </c>
    </row>
    <row r="227" spans="1:11" x14ac:dyDescent="0.2">
      <c r="A227" t="s">
        <v>884</v>
      </c>
      <c r="B227" t="s">
        <v>991</v>
      </c>
      <c r="C227" t="s">
        <v>1000</v>
      </c>
      <c r="D227" t="s">
        <v>1001</v>
      </c>
      <c r="E227" t="s">
        <v>1002</v>
      </c>
      <c r="F227" t="s">
        <v>158</v>
      </c>
      <c r="G227" t="s">
        <v>11</v>
      </c>
      <c r="H227">
        <f>41643*(1.01^10)</f>
        <v>45999.779168498797</v>
      </c>
      <c r="I227">
        <f>213545*(1.01^10)</f>
        <v>235886.53177093572</v>
      </c>
      <c r="J227" t="s">
        <v>1003</v>
      </c>
      <c r="K227">
        <f t="shared" si="3"/>
        <v>549.87715008502164</v>
      </c>
    </row>
    <row r="228" spans="1:11" x14ac:dyDescent="0.2">
      <c r="A228" t="s">
        <v>884</v>
      </c>
      <c r="B228" t="s">
        <v>991</v>
      </c>
      <c r="C228" t="s">
        <v>1005</v>
      </c>
      <c r="D228" t="s">
        <v>1006</v>
      </c>
      <c r="E228" t="s">
        <v>385</v>
      </c>
      <c r="F228" t="s">
        <v>11</v>
      </c>
      <c r="G228" t="s">
        <v>11</v>
      </c>
      <c r="H228">
        <f>407387*(1.01^10)</f>
        <v>450008.69380489446</v>
      </c>
      <c r="I228">
        <f>1934225*(1.01^10)</f>
        <v>2136587.7305234876</v>
      </c>
      <c r="J228" t="s">
        <v>1007</v>
      </c>
      <c r="K228">
        <f t="shared" si="3"/>
        <v>3370.0121932547122</v>
      </c>
    </row>
    <row r="229" spans="1:11" x14ac:dyDescent="0.2">
      <c r="A229" t="s">
        <v>884</v>
      </c>
      <c r="B229" t="s">
        <v>991</v>
      </c>
      <c r="C229" t="s">
        <v>1008</v>
      </c>
      <c r="D229" t="s">
        <v>1009</v>
      </c>
      <c r="E229" t="s">
        <v>1010</v>
      </c>
      <c r="F229" t="s">
        <v>17</v>
      </c>
      <c r="G229" t="s">
        <v>6</v>
      </c>
      <c r="H229">
        <f>72514*(1.01^10)</f>
        <v>80100.568802068097</v>
      </c>
      <c r="I229">
        <f>362602*(1.01^10)</f>
        <v>400538.19191835367</v>
      </c>
      <c r="J229" t="s">
        <v>1011</v>
      </c>
      <c r="K229">
        <f t="shared" si="3"/>
        <v>737.639395798073</v>
      </c>
    </row>
    <row r="230" spans="1:11" x14ac:dyDescent="0.2">
      <c r="A230" t="s">
        <v>884</v>
      </c>
      <c r="B230" t="s">
        <v>991</v>
      </c>
      <c r="C230" t="s">
        <v>1012</v>
      </c>
      <c r="D230" t="s">
        <v>1013</v>
      </c>
      <c r="E230" t="s">
        <v>777</v>
      </c>
      <c r="F230" t="s">
        <v>17</v>
      </c>
      <c r="G230" t="s">
        <v>11</v>
      </c>
      <c r="H230">
        <f>39995*(1.01^10)</f>
        <v>44179.361905821133</v>
      </c>
      <c r="I230">
        <f>201451*(1.01^10)</f>
        <v>222527.23178621262</v>
      </c>
      <c r="J230" t="s">
        <v>1014</v>
      </c>
      <c r="K230">
        <f t="shared" si="3"/>
        <v>460.81917245581582</v>
      </c>
    </row>
    <row r="231" spans="1:11" x14ac:dyDescent="0.2">
      <c r="A231" t="s">
        <v>884</v>
      </c>
      <c r="B231" t="s">
        <v>991</v>
      </c>
      <c r="C231" t="s">
        <v>1016</v>
      </c>
      <c r="D231" t="s">
        <v>1017</v>
      </c>
      <c r="E231" t="s">
        <v>679</v>
      </c>
      <c r="F231" t="s">
        <v>24</v>
      </c>
      <c r="G231" t="s">
        <v>12</v>
      </c>
      <c r="H231">
        <f>67059*(1.01^10)</f>
        <v>74074.855107949974</v>
      </c>
      <c r="I231">
        <f>341234*(1.01^10)</f>
        <v>376934.62634256703</v>
      </c>
      <c r="J231" t="s">
        <v>1018</v>
      </c>
      <c r="K231">
        <f t="shared" si="3"/>
        <v>480.5761632582811</v>
      </c>
    </row>
    <row r="232" spans="1:11" x14ac:dyDescent="0.2">
      <c r="A232" t="s">
        <v>884</v>
      </c>
      <c r="B232" t="s">
        <v>1020</v>
      </c>
      <c r="C232" t="s">
        <v>1021</v>
      </c>
      <c r="D232" t="s">
        <v>1022</v>
      </c>
      <c r="E232" t="s">
        <v>16</v>
      </c>
      <c r="F232" t="s">
        <v>12</v>
      </c>
      <c r="G232" t="s">
        <v>12</v>
      </c>
      <c r="H232">
        <f>32836*(1.01^10)</f>
        <v>36271.372110002318</v>
      </c>
      <c r="I232">
        <f>170609*(1.01^10)</f>
        <v>188458.47619428023</v>
      </c>
      <c r="J232" t="s">
        <v>1023</v>
      </c>
      <c r="K232">
        <f t="shared" si="3"/>
        <v>447.60303522000635</v>
      </c>
    </row>
    <row r="233" spans="1:11" x14ac:dyDescent="0.2">
      <c r="A233" t="s">
        <v>884</v>
      </c>
      <c r="B233" t="s">
        <v>1020</v>
      </c>
      <c r="C233" t="s">
        <v>1025</v>
      </c>
      <c r="D233" t="s">
        <v>1026</v>
      </c>
      <c r="E233" t="s">
        <v>1027</v>
      </c>
      <c r="F233" t="s">
        <v>24</v>
      </c>
      <c r="G233" t="s">
        <v>12</v>
      </c>
      <c r="H233">
        <f>42982*(1.01^10)</f>
        <v>47478.868194424402</v>
      </c>
      <c r="I233">
        <f>225649*(1.01^10)</f>
        <v>249256.87797691295</v>
      </c>
      <c r="J233" t="s">
        <v>1028</v>
      </c>
      <c r="K233">
        <f t="shared" si="3"/>
        <v>425.03210180531636</v>
      </c>
    </row>
    <row r="234" spans="1:11" x14ac:dyDescent="0.2">
      <c r="A234" t="s">
        <v>884</v>
      </c>
      <c r="B234" t="s">
        <v>1020</v>
      </c>
      <c r="C234" t="s">
        <v>1030</v>
      </c>
      <c r="D234" t="s">
        <v>1031</v>
      </c>
      <c r="E234" t="s">
        <v>1032</v>
      </c>
      <c r="F234" t="s">
        <v>92</v>
      </c>
      <c r="G234" t="s">
        <v>11</v>
      </c>
      <c r="H234">
        <f>117438*(1.01^10)</f>
        <v>129724.61316404106</v>
      </c>
      <c r="I234">
        <f>599488*(1.01^10)</f>
        <v>662207.70871851232</v>
      </c>
      <c r="J234" t="s">
        <v>1033</v>
      </c>
      <c r="K234">
        <f t="shared" si="3"/>
        <v>536.41122239910953</v>
      </c>
    </row>
    <row r="235" spans="1:11" x14ac:dyDescent="0.2">
      <c r="A235" t="s">
        <v>884</v>
      </c>
      <c r="B235" t="s">
        <v>1035</v>
      </c>
      <c r="C235" t="s">
        <v>1036</v>
      </c>
      <c r="D235" t="s">
        <v>1037</v>
      </c>
      <c r="E235" t="s">
        <v>144</v>
      </c>
      <c r="F235" t="s">
        <v>108</v>
      </c>
      <c r="G235" t="s">
        <v>11</v>
      </c>
      <c r="H235">
        <f>48132*(1.01^10)</f>
        <v>53167.67214029211</v>
      </c>
      <c r="I235">
        <f>258438*(1.01^10)</f>
        <v>285476.33284702094</v>
      </c>
      <c r="J235" t="s">
        <v>1038</v>
      </c>
      <c r="K235">
        <f t="shared" si="3"/>
        <v>385.79486682936397</v>
      </c>
    </row>
    <row r="236" spans="1:11" x14ac:dyDescent="0.2">
      <c r="A236" t="s">
        <v>884</v>
      </c>
      <c r="B236" t="s">
        <v>1035</v>
      </c>
      <c r="C236" t="s">
        <v>1040</v>
      </c>
      <c r="D236" t="s">
        <v>1041</v>
      </c>
      <c r="E236" t="s">
        <v>671</v>
      </c>
      <c r="F236" t="s">
        <v>318</v>
      </c>
      <c r="G236" t="s">
        <v>92</v>
      </c>
      <c r="H236">
        <f>108238*(1.01^10)</f>
        <v>119562.08961025799</v>
      </c>
      <c r="I236">
        <f>567191*(1.01^10)</f>
        <v>626531.7279341066</v>
      </c>
      <c r="J236" t="s">
        <v>1042</v>
      </c>
      <c r="K236">
        <f t="shared" si="3"/>
        <v>484.53397331982757</v>
      </c>
    </row>
    <row r="237" spans="1:11" x14ac:dyDescent="0.2">
      <c r="A237" t="s">
        <v>884</v>
      </c>
      <c r="B237" t="s">
        <v>1035</v>
      </c>
      <c r="C237" t="s">
        <v>1043</v>
      </c>
      <c r="D237" t="s">
        <v>1044</v>
      </c>
      <c r="E237" t="s">
        <v>144</v>
      </c>
      <c r="F237" t="s">
        <v>152</v>
      </c>
      <c r="G237" t="s">
        <v>17</v>
      </c>
      <c r="H237">
        <f>67584*(1.01^10)</f>
        <v>74654.78172379086</v>
      </c>
      <c r="I237">
        <f>356027*(1.01^10)</f>
        <v>393275.30144377501</v>
      </c>
      <c r="J237" t="s">
        <v>1045</v>
      </c>
      <c r="K237">
        <f t="shared" si="3"/>
        <v>432.17164831563309</v>
      </c>
    </row>
    <row r="238" spans="1:11" x14ac:dyDescent="0.2">
      <c r="A238" t="s">
        <v>884</v>
      </c>
      <c r="B238" t="s">
        <v>1035</v>
      </c>
      <c r="C238" t="s">
        <v>1047</v>
      </c>
      <c r="D238" t="s">
        <v>1048</v>
      </c>
      <c r="E238" t="s">
        <v>1049</v>
      </c>
      <c r="F238" t="s">
        <v>382</v>
      </c>
      <c r="G238" t="s">
        <v>17</v>
      </c>
      <c r="H238">
        <f>78104*(1.01^10)</f>
        <v>86275.406483116734</v>
      </c>
      <c r="I238">
        <f>404152*(1.01^10)</f>
        <v>446435.24122918921</v>
      </c>
      <c r="J238" t="s">
        <v>1050</v>
      </c>
      <c r="K238">
        <f t="shared" si="3"/>
        <v>387.11592796411759</v>
      </c>
    </row>
    <row r="239" spans="1:11" x14ac:dyDescent="0.2">
      <c r="A239" t="s">
        <v>884</v>
      </c>
      <c r="B239" t="s">
        <v>1035</v>
      </c>
      <c r="C239" t="s">
        <v>1052</v>
      </c>
      <c r="D239" t="s">
        <v>1053</v>
      </c>
      <c r="E239" t="s">
        <v>1054</v>
      </c>
      <c r="F239" t="s">
        <v>24</v>
      </c>
      <c r="G239" t="s">
        <v>12</v>
      </c>
      <c r="H239">
        <f>83936*(1.01^10)</f>
        <v>92717.562718514877</v>
      </c>
      <c r="I239">
        <f>443266*(1.01^10)</f>
        <v>489641.43104252307</v>
      </c>
      <c r="J239" t="s">
        <v>1055</v>
      </c>
      <c r="K239">
        <f t="shared" si="3"/>
        <v>405.08721535647783</v>
      </c>
    </row>
    <row r="240" spans="1:11" x14ac:dyDescent="0.2">
      <c r="A240" t="s">
        <v>884</v>
      </c>
      <c r="B240" t="s">
        <v>1057</v>
      </c>
      <c r="C240" t="s">
        <v>1058</v>
      </c>
      <c r="D240" t="s">
        <v>1059</v>
      </c>
      <c r="E240" t="s">
        <v>1060</v>
      </c>
      <c r="F240" t="s">
        <v>24</v>
      </c>
      <c r="G240" t="s">
        <v>12</v>
      </c>
      <c r="H240">
        <f>66991*(1.01^10)</f>
        <v>73999.740803422013</v>
      </c>
      <c r="I240">
        <f>348165*(1.01^10)</f>
        <v>384590.7622937921</v>
      </c>
      <c r="J240" t="s">
        <v>1061</v>
      </c>
      <c r="K240">
        <f t="shared" si="3"/>
        <v>364.6681020365001</v>
      </c>
    </row>
    <row r="241" spans="1:11" x14ac:dyDescent="0.2">
      <c r="A241" t="s">
        <v>884</v>
      </c>
      <c r="B241" t="s">
        <v>1057</v>
      </c>
      <c r="C241" t="s">
        <v>1063</v>
      </c>
      <c r="D241" t="s">
        <v>1064</v>
      </c>
      <c r="E241" t="s">
        <v>764</v>
      </c>
      <c r="F241" t="s">
        <v>24</v>
      </c>
      <c r="G241" t="s">
        <v>12</v>
      </c>
      <c r="H241">
        <f>42588*(1.01^10)</f>
        <v>47043.647077012385</v>
      </c>
      <c r="I241">
        <f>222937*(1.01^10)</f>
        <v>246261.14277279776</v>
      </c>
      <c r="J241" t="s">
        <v>1065</v>
      </c>
      <c r="K241">
        <f t="shared" si="3"/>
        <v>376.66138148241367</v>
      </c>
    </row>
    <row r="242" spans="1:11" x14ac:dyDescent="0.2">
      <c r="A242" t="s">
        <v>884</v>
      </c>
      <c r="B242" t="s">
        <v>1057</v>
      </c>
      <c r="C242" t="s">
        <v>1066</v>
      </c>
      <c r="D242" t="s">
        <v>1067</v>
      </c>
      <c r="E242" t="s">
        <v>36</v>
      </c>
      <c r="F242" t="s">
        <v>12</v>
      </c>
      <c r="G242" t="s">
        <v>17</v>
      </c>
      <c r="H242">
        <f>64781*(1.01^10)</f>
        <v>71558.525906263254</v>
      </c>
      <c r="I242">
        <f>330794*(1.01^10)</f>
        <v>365402.37135327404</v>
      </c>
      <c r="J242" t="s">
        <v>1068</v>
      </c>
      <c r="K242">
        <f t="shared" si="3"/>
        <v>413.0806341393594</v>
      </c>
    </row>
    <row r="243" spans="1:11" x14ac:dyDescent="0.2">
      <c r="A243" t="s">
        <v>884</v>
      </c>
      <c r="B243" t="s">
        <v>1069</v>
      </c>
      <c r="C243" t="s">
        <v>1070</v>
      </c>
      <c r="D243" t="s">
        <v>1071</v>
      </c>
      <c r="E243" t="s">
        <v>479</v>
      </c>
      <c r="F243" t="s">
        <v>152</v>
      </c>
      <c r="G243" t="s">
        <v>17</v>
      </c>
      <c r="H243">
        <f>89912*(1.01^10)</f>
        <v>99318.784539972243</v>
      </c>
      <c r="I243">
        <f>456578*(1.01^10)</f>
        <v>504346.16077599704</v>
      </c>
      <c r="J243" t="s">
        <v>1072</v>
      </c>
      <c r="K243">
        <f t="shared" si="3"/>
        <v>478.74350536042863</v>
      </c>
    </row>
    <row r="244" spans="1:11" x14ac:dyDescent="0.2">
      <c r="A244" t="s">
        <v>884</v>
      </c>
      <c r="B244" t="s">
        <v>1069</v>
      </c>
      <c r="C244" t="s">
        <v>1074</v>
      </c>
      <c r="D244" t="s">
        <v>1075</v>
      </c>
      <c r="E244" t="s">
        <v>185</v>
      </c>
      <c r="F244" t="s">
        <v>24</v>
      </c>
      <c r="G244" t="s">
        <v>12</v>
      </c>
      <c r="H244">
        <f>30981*(1.01^10)</f>
        <v>34222.298067364536</v>
      </c>
      <c r="I244">
        <f>160930*(1.01^10)</f>
        <v>177766.83864242517</v>
      </c>
      <c r="J244" t="s">
        <v>1076</v>
      </c>
      <c r="K244">
        <f t="shared" si="3"/>
        <v>439.45386185239664</v>
      </c>
    </row>
    <row r="245" spans="1:11" x14ac:dyDescent="0.2">
      <c r="A245" t="s">
        <v>884</v>
      </c>
      <c r="B245" t="s">
        <v>1078</v>
      </c>
      <c r="C245" t="s">
        <v>1079</v>
      </c>
      <c r="D245" t="s">
        <v>1080</v>
      </c>
      <c r="E245" t="s">
        <v>542</v>
      </c>
      <c r="F245" t="s">
        <v>12</v>
      </c>
      <c r="G245" t="s">
        <v>17</v>
      </c>
      <c r="H245">
        <f>60639*(1.01^10)</f>
        <v>66983.18106281005</v>
      </c>
      <c r="I245">
        <f>316669*(1.01^10)</f>
        <v>349799.58383184078</v>
      </c>
      <c r="J245" t="s">
        <v>1081</v>
      </c>
      <c r="K245">
        <f t="shared" si="3"/>
        <v>396.63124542159136</v>
      </c>
    </row>
    <row r="246" spans="1:11" x14ac:dyDescent="0.2">
      <c r="A246" t="s">
        <v>884</v>
      </c>
      <c r="B246" t="s">
        <v>1078</v>
      </c>
      <c r="C246" t="s">
        <v>1082</v>
      </c>
      <c r="D246" t="s">
        <v>1083</v>
      </c>
      <c r="E246" t="s">
        <v>4</v>
      </c>
      <c r="F246" t="s">
        <v>12</v>
      </c>
      <c r="G246" t="s">
        <v>6</v>
      </c>
      <c r="H246">
        <f>151247*(1.01^10)</f>
        <v>167070.78260206847</v>
      </c>
      <c r="I246">
        <f>755926*(1.01^10)</f>
        <v>835012.58477359032</v>
      </c>
      <c r="J246" t="s">
        <v>1084</v>
      </c>
      <c r="K246">
        <f t="shared" si="3"/>
        <v>552.26359091487302</v>
      </c>
    </row>
    <row r="247" spans="1:11" x14ac:dyDescent="0.2">
      <c r="A247" t="s">
        <v>884</v>
      </c>
      <c r="B247" t="s">
        <v>1078</v>
      </c>
      <c r="C247" t="s">
        <v>1086</v>
      </c>
      <c r="D247" t="s">
        <v>1087</v>
      </c>
      <c r="E247" t="s">
        <v>324</v>
      </c>
      <c r="F247" t="s">
        <v>24</v>
      </c>
      <c r="G247" t="s">
        <v>11</v>
      </c>
      <c r="H247">
        <f>62016*(1.01^10)</f>
        <v>68504.245729501272</v>
      </c>
      <c r="I247">
        <f>315930*(1.01^10)</f>
        <v>348983.26808116189</v>
      </c>
      <c r="J247" t="s">
        <v>1088</v>
      </c>
      <c r="K247">
        <f t="shared" si="3"/>
        <v>363.87049834964176</v>
      </c>
    </row>
    <row r="248" spans="1:11" x14ac:dyDescent="0.2">
      <c r="A248" t="s">
        <v>884</v>
      </c>
      <c r="B248" t="s">
        <v>1090</v>
      </c>
      <c r="C248" t="s">
        <v>1091</v>
      </c>
      <c r="D248" t="s">
        <v>1092</v>
      </c>
      <c r="E248" t="s">
        <v>535</v>
      </c>
      <c r="F248" t="s">
        <v>24</v>
      </c>
      <c r="G248" t="s">
        <v>12</v>
      </c>
      <c r="H248">
        <f>33635*(1.01^10)</f>
        <v>37153.965188205875</v>
      </c>
      <c r="I248">
        <f>174234*(1.01^10)</f>
        <v>192462.73139889585</v>
      </c>
      <c r="J248" t="s">
        <v>1093</v>
      </c>
      <c r="K248">
        <f t="shared" si="3"/>
        <v>326.04081499733763</v>
      </c>
    </row>
    <row r="249" spans="1:11" x14ac:dyDescent="0.2">
      <c r="A249" t="s">
        <v>884</v>
      </c>
      <c r="B249" t="s">
        <v>1090</v>
      </c>
      <c r="C249" t="s">
        <v>1095</v>
      </c>
      <c r="D249" t="s">
        <v>1096</v>
      </c>
      <c r="E249" t="s">
        <v>879</v>
      </c>
      <c r="F249" t="s">
        <v>17</v>
      </c>
      <c r="G249" t="s">
        <v>17</v>
      </c>
      <c r="H249">
        <f>49290*(1.01^10)</f>
        <v>54446.824561518282</v>
      </c>
      <c r="I249">
        <f>254706*(1.01^10)</f>
        <v>281353.88307498634</v>
      </c>
      <c r="J249" t="s">
        <v>1097</v>
      </c>
      <c r="K249">
        <f t="shared" si="3"/>
        <v>394.61325221379894</v>
      </c>
    </row>
    <row r="250" spans="1:11" x14ac:dyDescent="0.2">
      <c r="A250" t="s">
        <v>884</v>
      </c>
      <c r="B250" t="s">
        <v>1090</v>
      </c>
      <c r="C250" t="s">
        <v>1099</v>
      </c>
      <c r="D250" t="s">
        <v>1100</v>
      </c>
      <c r="E250" t="s">
        <v>1101</v>
      </c>
      <c r="F250" t="s">
        <v>24</v>
      </c>
      <c r="G250" t="s">
        <v>17</v>
      </c>
      <c r="H250">
        <f>66705*(1.01^10)</f>
        <v>73683.818875554411</v>
      </c>
      <c r="I250">
        <f>340811*(1.01^10)</f>
        <v>376467.37118351809</v>
      </c>
      <c r="J250" t="s">
        <v>1102</v>
      </c>
      <c r="K250">
        <f t="shared" si="3"/>
        <v>420.76844437307557</v>
      </c>
    </row>
    <row r="251" spans="1:11" x14ac:dyDescent="0.2">
      <c r="A251" t="s">
        <v>884</v>
      </c>
      <c r="B251" t="s">
        <v>1103</v>
      </c>
      <c r="C251" t="s">
        <v>1104</v>
      </c>
      <c r="D251" t="s">
        <v>1105</v>
      </c>
      <c r="E251" t="s">
        <v>1106</v>
      </c>
      <c r="F251" t="s">
        <v>24</v>
      </c>
      <c r="G251" t="s">
        <v>12</v>
      </c>
      <c r="H251">
        <f>34200*(1.01^10)</f>
        <v>37778.0766890632</v>
      </c>
      <c r="I251">
        <f>173970*(1.01^10)</f>
        <v>192171.11115778729</v>
      </c>
      <c r="J251" t="s">
        <v>1107</v>
      </c>
      <c r="K251">
        <f t="shared" si="3"/>
        <v>457.52668669451884</v>
      </c>
    </row>
    <row r="252" spans="1:11" x14ac:dyDescent="0.2">
      <c r="A252" t="s">
        <v>884</v>
      </c>
      <c r="B252" t="s">
        <v>1103</v>
      </c>
      <c r="C252" t="s">
        <v>1109</v>
      </c>
      <c r="D252" t="s">
        <v>1110</v>
      </c>
      <c r="E252" t="s">
        <v>121</v>
      </c>
      <c r="F252" t="s">
        <v>24</v>
      </c>
      <c r="G252" t="s">
        <v>17</v>
      </c>
      <c r="H252">
        <f>36526*(1.01^10)</f>
        <v>40347.427752769661</v>
      </c>
      <c r="I252">
        <f>193683*(1.01^10)</f>
        <v>213946.52711601838</v>
      </c>
      <c r="J252" t="s">
        <v>1111</v>
      </c>
      <c r="K252">
        <f t="shared" si="3"/>
        <v>527.68388608297585</v>
      </c>
    </row>
    <row r="253" spans="1:11" x14ac:dyDescent="0.2">
      <c r="A253" t="s">
        <v>884</v>
      </c>
      <c r="B253" t="s">
        <v>1103</v>
      </c>
      <c r="C253" t="s">
        <v>1113</v>
      </c>
      <c r="D253" t="s">
        <v>1114</v>
      </c>
      <c r="E253" t="s">
        <v>1115</v>
      </c>
      <c r="F253" t="s">
        <v>17</v>
      </c>
      <c r="G253" t="s">
        <v>11</v>
      </c>
      <c r="H253">
        <f>54224*(1.01^10)</f>
        <v>59897.030128297163</v>
      </c>
      <c r="I253">
        <f>277236*(1.01^10)</f>
        <v>306241.01956050075</v>
      </c>
      <c r="J253" t="s">
        <v>1116</v>
      </c>
      <c r="K253">
        <f t="shared" si="3"/>
        <v>487.32730784416572</v>
      </c>
    </row>
    <row r="254" spans="1:11" x14ac:dyDescent="0.2">
      <c r="A254" t="s">
        <v>884</v>
      </c>
      <c r="B254" t="s">
        <v>1103</v>
      </c>
      <c r="C254" t="s">
        <v>1117</v>
      </c>
      <c r="D254" t="s">
        <v>1118</v>
      </c>
      <c r="E254" t="s">
        <v>373</v>
      </c>
      <c r="F254" t="s">
        <v>382</v>
      </c>
      <c r="G254" t="s">
        <v>11</v>
      </c>
      <c r="H254">
        <f>171644*(1.01^10)</f>
        <v>189601.76009408082</v>
      </c>
      <c r="I254">
        <f>859786*(1.01^10)</f>
        <v>949738.63871879806</v>
      </c>
      <c r="J254" t="s">
        <v>1119</v>
      </c>
      <c r="K254">
        <f t="shared" si="3"/>
        <v>827.48231748399849</v>
      </c>
    </row>
    <row r="255" spans="1:11" x14ac:dyDescent="0.2">
      <c r="A255" t="s">
        <v>884</v>
      </c>
      <c r="B255" t="s">
        <v>1103</v>
      </c>
      <c r="C255" t="s">
        <v>1120</v>
      </c>
      <c r="D255" t="s">
        <v>1121</v>
      </c>
      <c r="E255" t="s">
        <v>1122</v>
      </c>
      <c r="F255" t="s">
        <v>11</v>
      </c>
      <c r="G255" t="s">
        <v>11</v>
      </c>
      <c r="H255">
        <f>75699*(1.01^10)</f>
        <v>83618.790271502789</v>
      </c>
      <c r="I255">
        <f>391011*(1.01^10)</f>
        <v>431919.40187916061</v>
      </c>
      <c r="J255" t="s">
        <v>1123</v>
      </c>
      <c r="K255">
        <f t="shared" si="3"/>
        <v>597.08137570078179</v>
      </c>
    </row>
    <row r="256" spans="1:11" x14ac:dyDescent="0.2">
      <c r="A256" t="s">
        <v>884</v>
      </c>
      <c r="B256" t="s">
        <v>1125</v>
      </c>
      <c r="C256" t="s">
        <v>1126</v>
      </c>
      <c r="D256" t="s">
        <v>1127</v>
      </c>
      <c r="E256" t="s">
        <v>1128</v>
      </c>
      <c r="F256" t="s">
        <v>103</v>
      </c>
      <c r="G256" t="s">
        <v>5</v>
      </c>
      <c r="H256">
        <f>81132*(1.01^10)</f>
        <v>89620.202278861863</v>
      </c>
      <c r="I256">
        <f>442711*(1.01^10)</f>
        <v>489028.36576291989</v>
      </c>
      <c r="J256" t="s">
        <v>1129</v>
      </c>
      <c r="K256">
        <f t="shared" si="3"/>
        <v>445.47178522358109</v>
      </c>
    </row>
    <row r="257" spans="1:11" x14ac:dyDescent="0.2">
      <c r="A257" t="s">
        <v>884</v>
      </c>
      <c r="B257" t="s">
        <v>1125</v>
      </c>
      <c r="C257" t="s">
        <v>1131</v>
      </c>
      <c r="D257" t="s">
        <v>1132</v>
      </c>
      <c r="E257" t="s">
        <v>679</v>
      </c>
      <c r="F257" t="s">
        <v>12</v>
      </c>
      <c r="G257" t="s">
        <v>11</v>
      </c>
      <c r="H257">
        <f>58952*(1.01^10)</f>
        <v>65119.683537241341</v>
      </c>
      <c r="I257">
        <f>312240*(1.01^10)</f>
        <v>344907.21243839455</v>
      </c>
      <c r="J257" t="s">
        <v>1133</v>
      </c>
      <c r="K257">
        <f t="shared" si="3"/>
        <v>703.11333909314612</v>
      </c>
    </row>
    <row r="258" spans="1:11" x14ac:dyDescent="0.2">
      <c r="A258" t="s">
        <v>884</v>
      </c>
      <c r="B258" t="s">
        <v>1125</v>
      </c>
      <c r="C258" t="s">
        <v>1135</v>
      </c>
      <c r="D258" t="s">
        <v>1136</v>
      </c>
      <c r="E258" t="s">
        <v>977</v>
      </c>
      <c r="F258" t="s">
        <v>11</v>
      </c>
      <c r="G258" t="s">
        <v>5</v>
      </c>
      <c r="H258">
        <f>286786*(1.01^10)</f>
        <v>316790.16085817775</v>
      </c>
      <c r="I258">
        <f>1415214*(1.01^10)</f>
        <v>1563276.6965916927</v>
      </c>
      <c r="J258" t="s">
        <v>1137</v>
      </c>
      <c r="K258">
        <f t="shared" si="3"/>
        <v>2782.9663622534836</v>
      </c>
    </row>
    <row r="259" spans="1:11" x14ac:dyDescent="0.2">
      <c r="A259" t="s">
        <v>884</v>
      </c>
      <c r="B259" t="s">
        <v>1125</v>
      </c>
      <c r="C259" t="s">
        <v>1138</v>
      </c>
      <c r="D259" t="s">
        <v>1139</v>
      </c>
      <c r="E259" t="s">
        <v>1140</v>
      </c>
      <c r="F259" t="s">
        <v>24</v>
      </c>
      <c r="G259" t="s">
        <v>5</v>
      </c>
      <c r="H259">
        <f>62028*(1.01^10)</f>
        <v>68517.501195006203</v>
      </c>
      <c r="I259">
        <f>320491*(1.01^10)</f>
        <v>354021.44959516241</v>
      </c>
      <c r="J259" t="s">
        <v>1141</v>
      </c>
      <c r="K259">
        <f t="shared" ref="K259:K322" si="4">I259/J259</f>
        <v>664.24943534706586</v>
      </c>
    </row>
    <row r="260" spans="1:11" x14ac:dyDescent="0.2">
      <c r="A260" t="s">
        <v>884</v>
      </c>
      <c r="B260" t="s">
        <v>1143</v>
      </c>
      <c r="C260" t="s">
        <v>1144</v>
      </c>
      <c r="D260" t="s">
        <v>1145</v>
      </c>
      <c r="E260" t="s">
        <v>133</v>
      </c>
      <c r="F260" t="s">
        <v>5</v>
      </c>
      <c r="G260" t="s">
        <v>12</v>
      </c>
      <c r="H260">
        <f>89613*(1.01^10)</f>
        <v>98988.502524474286</v>
      </c>
      <c r="I260">
        <f>493625*(1.01^10)</f>
        <v>545269.09665610595</v>
      </c>
      <c r="J260" t="s">
        <v>1146</v>
      </c>
      <c r="K260">
        <f t="shared" si="4"/>
        <v>573.43569125262536</v>
      </c>
    </row>
    <row r="261" spans="1:11" x14ac:dyDescent="0.2">
      <c r="A261" t="s">
        <v>884</v>
      </c>
      <c r="B261" t="s">
        <v>1143</v>
      </c>
      <c r="C261" t="s">
        <v>1148</v>
      </c>
      <c r="D261" t="s">
        <v>1149</v>
      </c>
      <c r="E261" t="s">
        <v>350</v>
      </c>
      <c r="F261" t="s">
        <v>5</v>
      </c>
      <c r="G261" t="s">
        <v>11</v>
      </c>
      <c r="H261">
        <f>79066*(1.01^10)</f>
        <v>87338.052967762313</v>
      </c>
      <c r="I261">
        <f>438190*(1.01^10)</f>
        <v>484034.36913393583</v>
      </c>
      <c r="J261" t="s">
        <v>1150</v>
      </c>
      <c r="K261">
        <f t="shared" si="4"/>
        <v>442.80417295529088</v>
      </c>
    </row>
    <row r="262" spans="1:11" x14ac:dyDescent="0.2">
      <c r="A262" t="s">
        <v>884</v>
      </c>
      <c r="B262" t="s">
        <v>1143</v>
      </c>
      <c r="C262" t="s">
        <v>1152</v>
      </c>
      <c r="D262" t="s">
        <v>1153</v>
      </c>
      <c r="E262" t="s">
        <v>172</v>
      </c>
      <c r="F262" t="s">
        <v>17</v>
      </c>
      <c r="G262" t="s">
        <v>24</v>
      </c>
      <c r="H262">
        <f>34742*(1.01^10)</f>
        <v>38376.781881036077</v>
      </c>
      <c r="I262">
        <f>187812*(1.01^10)</f>
        <v>207461.29061772919</v>
      </c>
      <c r="J262" t="s">
        <v>1154</v>
      </c>
      <c r="K262">
        <f t="shared" si="4"/>
        <v>560.70029061218054</v>
      </c>
    </row>
    <row r="263" spans="1:11" x14ac:dyDescent="0.2">
      <c r="A263" t="s">
        <v>884</v>
      </c>
      <c r="B263" t="s">
        <v>1156</v>
      </c>
      <c r="C263" t="s">
        <v>1157</v>
      </c>
      <c r="D263" t="s">
        <v>1158</v>
      </c>
      <c r="E263" t="s">
        <v>396</v>
      </c>
      <c r="F263" t="s">
        <v>24</v>
      </c>
      <c r="G263" t="s">
        <v>12</v>
      </c>
      <c r="H263">
        <f>37331*(1.01^10)</f>
        <v>41236.648563725685</v>
      </c>
      <c r="I263">
        <f>194445*(1.01^10)</f>
        <v>214788.2491755817</v>
      </c>
      <c r="J263" t="s">
        <v>1159</v>
      </c>
      <c r="K263">
        <f t="shared" si="4"/>
        <v>536.61066788395249</v>
      </c>
    </row>
    <row r="264" spans="1:11" x14ac:dyDescent="0.2">
      <c r="A264" t="s">
        <v>884</v>
      </c>
      <c r="B264" t="s">
        <v>1156</v>
      </c>
      <c r="C264" t="s">
        <v>1160</v>
      </c>
      <c r="D264" t="s">
        <v>1161</v>
      </c>
      <c r="E264" t="s">
        <v>164</v>
      </c>
      <c r="F264" t="s">
        <v>17</v>
      </c>
      <c r="G264" t="s">
        <v>12</v>
      </c>
      <c r="H264">
        <f>27754*(1.01^10)</f>
        <v>30657.682468662577</v>
      </c>
      <c r="I264">
        <f>133585*(1.01^10)</f>
        <v>147560.94662305579</v>
      </c>
      <c r="J264" t="s">
        <v>1162</v>
      </c>
      <c r="K264">
        <f t="shared" si="4"/>
        <v>607.99384536789341</v>
      </c>
    </row>
    <row r="265" spans="1:11" x14ac:dyDescent="0.2">
      <c r="A265" t="s">
        <v>884</v>
      </c>
      <c r="B265" t="s">
        <v>1156</v>
      </c>
      <c r="C265" t="s">
        <v>1164</v>
      </c>
      <c r="D265" t="s">
        <v>1165</v>
      </c>
      <c r="E265" t="s">
        <v>269</v>
      </c>
      <c r="F265" t="s">
        <v>405</v>
      </c>
      <c r="G265" t="s">
        <v>5</v>
      </c>
      <c r="H265">
        <f>36647*(1.01^10)</f>
        <v>40481.087029944421</v>
      </c>
      <c r="I265">
        <f>181256*(1.01^10)</f>
        <v>200219.38796353331</v>
      </c>
      <c r="J265" t="s">
        <v>1166</v>
      </c>
      <c r="K265">
        <f t="shared" si="4"/>
        <v>569.15331569294767</v>
      </c>
    </row>
    <row r="266" spans="1:11" x14ac:dyDescent="0.2">
      <c r="A266" t="s">
        <v>884</v>
      </c>
      <c r="B266" t="s">
        <v>1156</v>
      </c>
      <c r="C266" t="s">
        <v>1168</v>
      </c>
      <c r="D266" t="s">
        <v>1169</v>
      </c>
      <c r="E266" t="s">
        <v>971</v>
      </c>
      <c r="F266" t="s">
        <v>152</v>
      </c>
      <c r="G266" t="s">
        <v>17</v>
      </c>
      <c r="H266">
        <f>33903*(1.01^10)</f>
        <v>37450.003917816073</v>
      </c>
      <c r="I266">
        <f>175341*(1.01^10)</f>
        <v>193685.54809172606</v>
      </c>
      <c r="J266" t="s">
        <v>1170</v>
      </c>
      <c r="K266">
        <f t="shared" si="4"/>
        <v>536.14932262657146</v>
      </c>
    </row>
    <row r="267" spans="1:11" x14ac:dyDescent="0.2">
      <c r="A267" t="s">
        <v>884</v>
      </c>
      <c r="B267" t="s">
        <v>1171</v>
      </c>
      <c r="C267" t="s">
        <v>1172</v>
      </c>
      <c r="D267" t="s">
        <v>1173</v>
      </c>
      <c r="E267" t="s">
        <v>385</v>
      </c>
      <c r="F267" t="s">
        <v>11</v>
      </c>
      <c r="G267" t="s">
        <v>5</v>
      </c>
      <c r="H267">
        <f>66262*(1.01^10)</f>
        <v>73194.471273997246</v>
      </c>
      <c r="I267">
        <f>329763*(1.01^10)</f>
        <v>364263.50594197511</v>
      </c>
      <c r="J267" t="s">
        <v>1174</v>
      </c>
      <c r="K267">
        <f t="shared" si="4"/>
        <v>703.27613293810248</v>
      </c>
    </row>
    <row r="268" spans="1:11" x14ac:dyDescent="0.2">
      <c r="A268" t="s">
        <v>884</v>
      </c>
      <c r="B268" t="s">
        <v>1171</v>
      </c>
      <c r="C268" t="s">
        <v>1175</v>
      </c>
      <c r="D268" t="s">
        <v>1176</v>
      </c>
      <c r="E268" t="s">
        <v>253</v>
      </c>
      <c r="F268" t="s">
        <v>11</v>
      </c>
      <c r="G268" t="s">
        <v>5</v>
      </c>
      <c r="H268">
        <f>71101*(1.01^10)</f>
        <v>78539.737738862066</v>
      </c>
      <c r="I268">
        <f>324375*(1.01^10)</f>
        <v>358311.80193025956</v>
      </c>
      <c r="J268" t="s">
        <v>1177</v>
      </c>
      <c r="K268">
        <f t="shared" si="4"/>
        <v>1911.6950901704422</v>
      </c>
    </row>
    <row r="269" spans="1:11" x14ac:dyDescent="0.2">
      <c r="A269" t="s">
        <v>884</v>
      </c>
      <c r="B269" t="s">
        <v>1171</v>
      </c>
      <c r="C269" t="s">
        <v>1178</v>
      </c>
      <c r="D269" t="s">
        <v>1179</v>
      </c>
      <c r="E269" t="s">
        <v>759</v>
      </c>
      <c r="F269" t="s">
        <v>405</v>
      </c>
      <c r="G269" t="s">
        <v>6</v>
      </c>
      <c r="H269">
        <f>68048*(1.01^10)</f>
        <v>75167.326389981667</v>
      </c>
      <c r="I269">
        <f>340490*(1.01^10)</f>
        <v>376112.78748126113</v>
      </c>
      <c r="J269" t="s">
        <v>1180</v>
      </c>
      <c r="K269">
        <f t="shared" si="4"/>
        <v>967.80664772915668</v>
      </c>
    </row>
    <row r="270" spans="1:11" x14ac:dyDescent="0.2">
      <c r="A270" t="s">
        <v>884</v>
      </c>
      <c r="B270" t="s">
        <v>1181</v>
      </c>
      <c r="C270" t="s">
        <v>1182</v>
      </c>
      <c r="D270" t="s">
        <v>1183</v>
      </c>
      <c r="E270" t="s">
        <v>486</v>
      </c>
      <c r="F270" t="s">
        <v>11</v>
      </c>
      <c r="G270" t="s">
        <v>11</v>
      </c>
      <c r="H270">
        <f>82799*(1.01^10)</f>
        <v>91461.607361922346</v>
      </c>
      <c r="I270">
        <f>429754*(1.01^10)</f>
        <v>474715.77688396687</v>
      </c>
      <c r="J270" t="s">
        <v>1184</v>
      </c>
      <c r="K270">
        <f t="shared" si="4"/>
        <v>694.48730240428904</v>
      </c>
    </row>
    <row r="271" spans="1:11" x14ac:dyDescent="0.2">
      <c r="A271" t="s">
        <v>884</v>
      </c>
      <c r="B271" t="s">
        <v>1181</v>
      </c>
      <c r="C271" t="s">
        <v>1186</v>
      </c>
      <c r="D271" t="s">
        <v>1187</v>
      </c>
      <c r="E271" t="s">
        <v>36</v>
      </c>
      <c r="F271" t="s">
        <v>17</v>
      </c>
      <c r="G271" t="s">
        <v>12</v>
      </c>
      <c r="H271">
        <f>51197*(1.01^10)</f>
        <v>56553.338954677449</v>
      </c>
      <c r="I271">
        <f>261247*(1.01^10)</f>
        <v>288579.216397301</v>
      </c>
      <c r="J271" t="s">
        <v>1188</v>
      </c>
      <c r="K271">
        <f t="shared" si="4"/>
        <v>476.79734814272632</v>
      </c>
    </row>
    <row r="272" spans="1:11" x14ac:dyDescent="0.2">
      <c r="A272" t="s">
        <v>884</v>
      </c>
      <c r="B272" t="s">
        <v>1181</v>
      </c>
      <c r="C272" t="s">
        <v>1190</v>
      </c>
      <c r="D272" t="s">
        <v>1191</v>
      </c>
      <c r="E272" t="s">
        <v>404</v>
      </c>
      <c r="F272" t="s">
        <v>17</v>
      </c>
      <c r="G272" t="s">
        <v>11</v>
      </c>
      <c r="H272">
        <f>71336*(1.01^10)</f>
        <v>78799.323938333706</v>
      </c>
      <c r="I272">
        <f>362882*(1.01^10)</f>
        <v>400847.48611346883</v>
      </c>
      <c r="J272" t="s">
        <v>1192</v>
      </c>
      <c r="K272">
        <f t="shared" si="4"/>
        <v>511.89480937939169</v>
      </c>
    </row>
    <row r="273" spans="1:11" x14ac:dyDescent="0.2">
      <c r="A273" t="s">
        <v>884</v>
      </c>
      <c r="B273" t="s">
        <v>1181</v>
      </c>
      <c r="C273" t="s">
        <v>1193</v>
      </c>
      <c r="D273" t="s">
        <v>1194</v>
      </c>
      <c r="E273" t="s">
        <v>1195</v>
      </c>
      <c r="F273" t="s">
        <v>24</v>
      </c>
      <c r="G273" t="s">
        <v>11</v>
      </c>
      <c r="H273">
        <f>64420*(1.01^10)</f>
        <v>71159.75731898981</v>
      </c>
      <c r="I273">
        <f>334641*(1.01^10)</f>
        <v>369651.85266973096</v>
      </c>
      <c r="J273" t="s">
        <v>1196</v>
      </c>
      <c r="K273">
        <f t="shared" si="4"/>
        <v>480.33615897279049</v>
      </c>
    </row>
    <row r="274" spans="1:11" x14ac:dyDescent="0.2">
      <c r="A274" t="s">
        <v>884</v>
      </c>
      <c r="B274" t="s">
        <v>1181</v>
      </c>
      <c r="C274" t="s">
        <v>1197</v>
      </c>
      <c r="D274" t="s">
        <v>1198</v>
      </c>
      <c r="E274" t="s">
        <v>16</v>
      </c>
      <c r="F274" t="s">
        <v>24</v>
      </c>
      <c r="G274" t="s">
        <v>12</v>
      </c>
      <c r="H274">
        <f>24966*(1.01^10)</f>
        <v>27577.995983016139</v>
      </c>
      <c r="I274">
        <f>132382*(1.01^10)</f>
        <v>146232.0862061861</v>
      </c>
      <c r="J274" t="s">
        <v>1199</v>
      </c>
      <c r="K274">
        <f t="shared" si="4"/>
        <v>331.30310822410343</v>
      </c>
    </row>
    <row r="275" spans="1:11" x14ac:dyDescent="0.2">
      <c r="A275" t="s">
        <v>884</v>
      </c>
      <c r="B275" t="s">
        <v>1181</v>
      </c>
      <c r="C275" t="s">
        <v>1201</v>
      </c>
      <c r="D275" t="s">
        <v>1202</v>
      </c>
      <c r="E275" t="s">
        <v>333</v>
      </c>
      <c r="F275" t="s">
        <v>24</v>
      </c>
      <c r="G275" t="s">
        <v>17</v>
      </c>
      <c r="H275">
        <f>24152*(1.01^10)</f>
        <v>26678.833572931417</v>
      </c>
      <c r="I275">
        <f>134263*(1.01^10)</f>
        <v>148309.88042408458</v>
      </c>
      <c r="J275" t="s">
        <v>1203</v>
      </c>
      <c r="K275">
        <f t="shared" si="4"/>
        <v>433.41840758559488</v>
      </c>
    </row>
    <row r="276" spans="1:11" x14ac:dyDescent="0.2">
      <c r="A276" t="s">
        <v>884</v>
      </c>
      <c r="B276" t="s">
        <v>1204</v>
      </c>
      <c r="C276" t="s">
        <v>1205</v>
      </c>
      <c r="D276" t="s">
        <v>1206</v>
      </c>
      <c r="E276" t="s">
        <v>168</v>
      </c>
      <c r="F276" t="s">
        <v>12</v>
      </c>
      <c r="G276" t="s">
        <v>11</v>
      </c>
      <c r="H276">
        <f>76764*(1.01^10)</f>
        <v>84795.212835065715</v>
      </c>
      <c r="I276">
        <f>388699*(1.01^10)</f>
        <v>429365.51552520989</v>
      </c>
      <c r="J276" t="s">
        <v>1207</v>
      </c>
      <c r="K276">
        <f t="shared" si="4"/>
        <v>478.39940272770519</v>
      </c>
    </row>
    <row r="277" spans="1:11" x14ac:dyDescent="0.2">
      <c r="A277" t="s">
        <v>884</v>
      </c>
      <c r="B277" t="s">
        <v>1204</v>
      </c>
      <c r="C277" t="s">
        <v>1208</v>
      </c>
      <c r="D277" t="s">
        <v>1209</v>
      </c>
      <c r="E277" t="s">
        <v>180</v>
      </c>
      <c r="F277" t="s">
        <v>24</v>
      </c>
      <c r="G277" t="s">
        <v>17</v>
      </c>
      <c r="H277">
        <f>39034*(1.01^10)</f>
        <v>43117.82004330097</v>
      </c>
      <c r="I277">
        <f>206828*(1.01^10)</f>
        <v>228466.78495454867</v>
      </c>
      <c r="J277" t="s">
        <v>1210</v>
      </c>
      <c r="K277">
        <f t="shared" si="4"/>
        <v>390.88479235476655</v>
      </c>
    </row>
    <row r="278" spans="1:11" x14ac:dyDescent="0.2">
      <c r="A278" t="s">
        <v>1211</v>
      </c>
      <c r="B278" t="s">
        <v>1212</v>
      </c>
      <c r="C278" t="s">
        <v>1213</v>
      </c>
      <c r="D278" t="s">
        <v>1214</v>
      </c>
      <c r="E278" t="s">
        <v>92</v>
      </c>
      <c r="F278" t="s">
        <v>24</v>
      </c>
      <c r="G278" t="s">
        <v>158</v>
      </c>
      <c r="H278">
        <f>241173*(1.01^10)</f>
        <v>266405.03185179649</v>
      </c>
      <c r="I278">
        <f>1055450*(1.01^10)</f>
        <v>1165873.4222652561</v>
      </c>
      <c r="J278" t="s">
        <v>1215</v>
      </c>
      <c r="K278">
        <f t="shared" si="4"/>
        <v>10226.959844432071</v>
      </c>
    </row>
    <row r="279" spans="1:11" x14ac:dyDescent="0.2">
      <c r="A279" t="s">
        <v>1216</v>
      </c>
      <c r="B279" t="s">
        <v>1217</v>
      </c>
      <c r="C279" t="s">
        <v>1218</v>
      </c>
      <c r="D279" t="s">
        <v>1219</v>
      </c>
      <c r="E279" t="s">
        <v>1101</v>
      </c>
      <c r="F279" t="s">
        <v>12</v>
      </c>
      <c r="G279" t="s">
        <v>24</v>
      </c>
      <c r="H279">
        <f>6521*(1.01^10)</f>
        <v>7203.2408798064662</v>
      </c>
      <c r="I279">
        <f>33792*(1.01^10)</f>
        <v>37327.39086189543</v>
      </c>
      <c r="J279" t="s">
        <v>1220</v>
      </c>
      <c r="K279">
        <f t="shared" si="4"/>
        <v>112.31687687878508</v>
      </c>
    </row>
    <row r="280" spans="1:11" x14ac:dyDescent="0.2">
      <c r="A280" t="s">
        <v>1216</v>
      </c>
      <c r="B280" t="s">
        <v>1217</v>
      </c>
      <c r="C280" t="s">
        <v>1221</v>
      </c>
      <c r="D280" t="s">
        <v>1222</v>
      </c>
      <c r="E280" t="s">
        <v>1223</v>
      </c>
      <c r="F280" t="s">
        <v>24</v>
      </c>
      <c r="G280" t="s">
        <v>24</v>
      </c>
      <c r="H280">
        <f>7473*(1.01^10)</f>
        <v>8254.841143197933</v>
      </c>
      <c r="I280">
        <f>40491*(1.01^10)</f>
        <v>44727.254480025091</v>
      </c>
      <c r="J280" t="s">
        <v>1224</v>
      </c>
      <c r="K280">
        <f t="shared" si="4"/>
        <v>25.734899010371169</v>
      </c>
    </row>
    <row r="281" spans="1:11" x14ac:dyDescent="0.2">
      <c r="A281" t="s">
        <v>1216</v>
      </c>
      <c r="B281" t="s">
        <v>1217</v>
      </c>
      <c r="C281" t="s">
        <v>1225</v>
      </c>
      <c r="D281" t="s">
        <v>1226</v>
      </c>
      <c r="E281" t="s">
        <v>1227</v>
      </c>
      <c r="F281" t="s">
        <v>6</v>
      </c>
      <c r="G281" t="s">
        <v>12</v>
      </c>
      <c r="H281">
        <f>13612*(1.01^10)</f>
        <v>15036.11637109732</v>
      </c>
      <c r="I281">
        <f>70564*(1.01^10)</f>
        <v>77946.555657516248</v>
      </c>
      <c r="J281" t="s">
        <v>1228</v>
      </c>
      <c r="K281">
        <f t="shared" si="4"/>
        <v>87.677641189876553</v>
      </c>
    </row>
    <row r="282" spans="1:11" x14ac:dyDescent="0.2">
      <c r="A282" t="s">
        <v>1216</v>
      </c>
      <c r="B282" t="s">
        <v>1217</v>
      </c>
      <c r="C282" t="s">
        <v>1230</v>
      </c>
      <c r="D282" t="s">
        <v>1231</v>
      </c>
      <c r="E282" t="s">
        <v>282</v>
      </c>
      <c r="F282" t="s">
        <v>11</v>
      </c>
      <c r="G282" t="s">
        <v>24</v>
      </c>
      <c r="H282">
        <f>12493*(1.01^10)</f>
        <v>13800.044212762181</v>
      </c>
      <c r="I282">
        <f>60283*(1.01^10)</f>
        <v>66589.935586163658</v>
      </c>
      <c r="J282" t="s">
        <v>1232</v>
      </c>
      <c r="K282">
        <f t="shared" si="4"/>
        <v>149.75118318788904</v>
      </c>
    </row>
    <row r="283" spans="1:11" x14ac:dyDescent="0.2">
      <c r="A283" t="s">
        <v>1216</v>
      </c>
      <c r="B283" t="s">
        <v>1217</v>
      </c>
      <c r="C283" t="s">
        <v>1234</v>
      </c>
      <c r="D283" t="s">
        <v>1235</v>
      </c>
      <c r="E283" t="s">
        <v>40</v>
      </c>
      <c r="F283" t="s">
        <v>17</v>
      </c>
      <c r="G283" t="s">
        <v>24</v>
      </c>
      <c r="H283">
        <f>9974*(1.01^10)</f>
        <v>11017.501078851355</v>
      </c>
      <c r="I283">
        <f>49900*(1.01^10)</f>
        <v>55120.644058019119</v>
      </c>
      <c r="J283" t="s">
        <v>1236</v>
      </c>
      <c r="K283">
        <f t="shared" si="4"/>
        <v>187.53323649274063</v>
      </c>
    </row>
    <row r="284" spans="1:11" x14ac:dyDescent="0.2">
      <c r="A284" t="s">
        <v>1216</v>
      </c>
      <c r="B284" t="s">
        <v>1217</v>
      </c>
      <c r="C284" t="s">
        <v>1237</v>
      </c>
      <c r="D284" t="s">
        <v>1238</v>
      </c>
      <c r="E284" t="s">
        <v>977</v>
      </c>
      <c r="F284" t="s">
        <v>24</v>
      </c>
      <c r="G284" t="s">
        <v>17</v>
      </c>
      <c r="H284">
        <f>17529*(1.01^10)</f>
        <v>19362.921236333008</v>
      </c>
      <c r="I284">
        <f>75056*(1.01^10)</f>
        <v>82908.518244863386</v>
      </c>
      <c r="J284" t="s">
        <v>1239</v>
      </c>
      <c r="K284">
        <f t="shared" si="4"/>
        <v>19.200429393809834</v>
      </c>
    </row>
    <row r="285" spans="1:11" x14ac:dyDescent="0.2">
      <c r="A285" t="s">
        <v>1216</v>
      </c>
      <c r="B285" t="s">
        <v>1240</v>
      </c>
      <c r="C285" t="s">
        <v>1241</v>
      </c>
      <c r="D285" t="s">
        <v>1242</v>
      </c>
      <c r="E285" t="s">
        <v>1060</v>
      </c>
      <c r="F285" t="s">
        <v>152</v>
      </c>
      <c r="G285" t="s">
        <v>17</v>
      </c>
      <c r="H285">
        <f>12358*(1.01^10)</f>
        <v>13650.920225831669</v>
      </c>
      <c r="I285">
        <f>48202*(1.01^10)</f>
        <v>53244.995689070893</v>
      </c>
      <c r="J285" t="s">
        <v>1243</v>
      </c>
      <c r="K285">
        <f t="shared" si="4"/>
        <v>11.385333376383427</v>
      </c>
    </row>
    <row r="286" spans="1:11" x14ac:dyDescent="0.2">
      <c r="A286" t="s">
        <v>1216</v>
      </c>
      <c r="B286" t="s">
        <v>1240</v>
      </c>
      <c r="C286" t="s">
        <v>1244</v>
      </c>
      <c r="D286" t="s">
        <v>1245</v>
      </c>
      <c r="E286" t="s">
        <v>740</v>
      </c>
      <c r="F286" t="s">
        <v>796</v>
      </c>
      <c r="G286" t="s">
        <v>17</v>
      </c>
      <c r="H286">
        <f>22242*(1.01^10)</f>
        <v>24569.005313396017</v>
      </c>
      <c r="I286">
        <f>99982*(1.01^10)</f>
        <v>110442.32934286307</v>
      </c>
      <c r="J286" t="s">
        <v>1246</v>
      </c>
      <c r="K286">
        <f t="shared" si="4"/>
        <v>89.786110805851081</v>
      </c>
    </row>
    <row r="287" spans="1:11" x14ac:dyDescent="0.2">
      <c r="A287" t="s">
        <v>1216</v>
      </c>
      <c r="B287" t="s">
        <v>1240</v>
      </c>
      <c r="C287" t="s">
        <v>1247</v>
      </c>
      <c r="D287" t="s">
        <v>1248</v>
      </c>
      <c r="E287" t="s">
        <v>1049</v>
      </c>
      <c r="F287" t="s">
        <v>6</v>
      </c>
      <c r="G287" t="s">
        <v>24</v>
      </c>
      <c r="H287">
        <f>8244*(1.01^10)</f>
        <v>9106.5048018899724</v>
      </c>
      <c r="I287">
        <f>35890*(1.01^10)</f>
        <v>39644.888081008139</v>
      </c>
      <c r="J287" t="s">
        <v>1249</v>
      </c>
      <c r="K287">
        <f t="shared" si="4"/>
        <v>156.21121205330491</v>
      </c>
    </row>
    <row r="288" spans="1:11" x14ac:dyDescent="0.2">
      <c r="A288" t="s">
        <v>1216</v>
      </c>
      <c r="B288" t="s">
        <v>1240</v>
      </c>
      <c r="C288" t="s">
        <v>1250</v>
      </c>
      <c r="D288" t="s">
        <v>1251</v>
      </c>
      <c r="E288" t="s">
        <v>305</v>
      </c>
      <c r="F288" t="s">
        <v>274</v>
      </c>
      <c r="G288" t="s">
        <v>17</v>
      </c>
      <c r="H288">
        <f>13204*(1.01^10)</f>
        <v>14585.430543929548</v>
      </c>
      <c r="I288">
        <f>56005*(1.01^10)</f>
        <v>61864.362133654518</v>
      </c>
      <c r="J288" t="s">
        <v>1252</v>
      </c>
      <c r="K288">
        <f t="shared" si="4"/>
        <v>203.07704649624284</v>
      </c>
    </row>
    <row r="289" spans="1:11" x14ac:dyDescent="0.2">
      <c r="A289" t="s">
        <v>1216</v>
      </c>
      <c r="B289" t="s">
        <v>1240</v>
      </c>
      <c r="C289" t="s">
        <v>1253</v>
      </c>
      <c r="D289" t="s">
        <v>1254</v>
      </c>
      <c r="E289" t="s">
        <v>657</v>
      </c>
      <c r="F289" t="s">
        <v>405</v>
      </c>
      <c r="G289" t="s">
        <v>24</v>
      </c>
      <c r="H289">
        <f>19739*(1.01^10)</f>
        <v>21804.136133491771</v>
      </c>
      <c r="I289">
        <f>89114*(1.01^10)</f>
        <v>98437.296083894093</v>
      </c>
      <c r="J289" t="s">
        <v>1255</v>
      </c>
      <c r="K289">
        <f t="shared" si="4"/>
        <v>92.490601183512879</v>
      </c>
    </row>
    <row r="290" spans="1:11" x14ac:dyDescent="0.2">
      <c r="A290" t="s">
        <v>1216</v>
      </c>
      <c r="B290" t="s">
        <v>1240</v>
      </c>
      <c r="C290" t="s">
        <v>1256</v>
      </c>
      <c r="D290" t="s">
        <v>1257</v>
      </c>
      <c r="E290" t="s">
        <v>1258</v>
      </c>
      <c r="F290" t="s">
        <v>318</v>
      </c>
      <c r="G290" t="s">
        <v>24</v>
      </c>
      <c r="H290">
        <f>13177*(1.01^10)</f>
        <v>14555.605746543444</v>
      </c>
      <c r="I290">
        <f>62412*(1.01^10)</f>
        <v>68941.676091164118</v>
      </c>
      <c r="J290" t="s">
        <v>1259</v>
      </c>
      <c r="K290">
        <f t="shared" si="4"/>
        <v>137.72372152130333</v>
      </c>
    </row>
    <row r="291" spans="1:11" x14ac:dyDescent="0.2">
      <c r="A291" t="s">
        <v>1216</v>
      </c>
      <c r="B291" t="s">
        <v>1260</v>
      </c>
      <c r="C291" t="s">
        <v>1261</v>
      </c>
      <c r="D291" t="s">
        <v>1262</v>
      </c>
      <c r="E291" t="s">
        <v>1263</v>
      </c>
      <c r="F291" t="s">
        <v>44</v>
      </c>
      <c r="G291" t="s">
        <v>12</v>
      </c>
      <c r="H291">
        <f>18524*(1.01^10)</f>
        <v>20462.020251117156</v>
      </c>
      <c r="I291">
        <f>87024*(1.01^10)</f>
        <v>96128.635841784679</v>
      </c>
      <c r="J291" t="s">
        <v>1264</v>
      </c>
      <c r="K291">
        <f t="shared" si="4"/>
        <v>85.416834443832926</v>
      </c>
    </row>
    <row r="292" spans="1:11" x14ac:dyDescent="0.2">
      <c r="A292" t="s">
        <v>1216</v>
      </c>
      <c r="B292" t="s">
        <v>1260</v>
      </c>
      <c r="C292" t="s">
        <v>1265</v>
      </c>
      <c r="D292" t="s">
        <v>1266</v>
      </c>
      <c r="E292" t="s">
        <v>1267</v>
      </c>
      <c r="F292" t="s">
        <v>445</v>
      </c>
      <c r="G292" t="s">
        <v>12</v>
      </c>
      <c r="H292">
        <f>21497*(1.01^10)</f>
        <v>23746.061829964667</v>
      </c>
      <c r="I292">
        <f>91859*(1.01^10)</f>
        <v>101469.48381814786</v>
      </c>
      <c r="J292" t="s">
        <v>1268</v>
      </c>
      <c r="K292">
        <f t="shared" si="4"/>
        <v>286.47705297785626</v>
      </c>
    </row>
    <row r="293" spans="1:11" x14ac:dyDescent="0.2">
      <c r="A293" t="s">
        <v>1216</v>
      </c>
      <c r="B293" t="s">
        <v>1260</v>
      </c>
      <c r="C293" t="s">
        <v>1270</v>
      </c>
      <c r="D293" t="s">
        <v>1271</v>
      </c>
      <c r="E293" t="s">
        <v>771</v>
      </c>
      <c r="F293" t="s">
        <v>12</v>
      </c>
      <c r="G293" t="s">
        <v>24</v>
      </c>
      <c r="H293">
        <f>13521*(1.01^10)</f>
        <v>14935.5957576849</v>
      </c>
      <c r="I293">
        <f>63402*(1.01^10)</f>
        <v>70035.251995321203</v>
      </c>
      <c r="J293" t="s">
        <v>1272</v>
      </c>
      <c r="K293">
        <f t="shared" si="4"/>
        <v>138.85071177003832</v>
      </c>
    </row>
    <row r="294" spans="1:11" x14ac:dyDescent="0.2">
      <c r="A294" t="s">
        <v>1216</v>
      </c>
      <c r="B294" t="s">
        <v>1273</v>
      </c>
      <c r="C294" t="s">
        <v>1274</v>
      </c>
      <c r="D294" t="s">
        <v>1275</v>
      </c>
      <c r="E294" t="s">
        <v>401</v>
      </c>
      <c r="F294" t="s">
        <v>108</v>
      </c>
      <c r="G294" t="s">
        <v>24</v>
      </c>
      <c r="H294">
        <f>25127*(1.01^10)</f>
        <v>27755.840145207341</v>
      </c>
      <c r="I294">
        <f>120775*(1.01^10)</f>
        <v>133410.73719653825</v>
      </c>
      <c r="J294" t="s">
        <v>1276</v>
      </c>
      <c r="K294">
        <f t="shared" si="4"/>
        <v>102.65149193550933</v>
      </c>
    </row>
    <row r="295" spans="1:11" x14ac:dyDescent="0.2">
      <c r="A295" t="s">
        <v>1216</v>
      </c>
      <c r="B295" t="s">
        <v>1273</v>
      </c>
      <c r="C295" t="s">
        <v>1277</v>
      </c>
      <c r="D295" t="s">
        <v>1278</v>
      </c>
      <c r="E295" t="s">
        <v>604</v>
      </c>
      <c r="F295" t="s">
        <v>458</v>
      </c>
      <c r="G295" t="s">
        <v>17</v>
      </c>
      <c r="H295">
        <f>22310*(1.01^10)</f>
        <v>24644.119617923978</v>
      </c>
      <c r="I295">
        <f>94441*(1.01^10)</f>
        <v>104321.61814595958</v>
      </c>
      <c r="J295" t="s">
        <v>1279</v>
      </c>
      <c r="K295">
        <f t="shared" si="4"/>
        <v>218.7069372999087</v>
      </c>
    </row>
    <row r="296" spans="1:11" x14ac:dyDescent="0.2">
      <c r="A296" t="s">
        <v>1216</v>
      </c>
      <c r="B296" t="s">
        <v>1273</v>
      </c>
      <c r="C296" t="s">
        <v>1280</v>
      </c>
      <c r="D296" t="s">
        <v>1281</v>
      </c>
      <c r="E296" t="s">
        <v>1282</v>
      </c>
      <c r="F296" t="s">
        <v>108</v>
      </c>
      <c r="G296" t="s">
        <v>24</v>
      </c>
      <c r="H296">
        <f>14773*(1.01^10)</f>
        <v>16318.582658699728</v>
      </c>
      <c r="I296">
        <f>73592*(1.01^10)</f>
        <v>81291.351453261377</v>
      </c>
      <c r="J296" t="s">
        <v>1283</v>
      </c>
      <c r="K296">
        <f t="shared" si="4"/>
        <v>372.46324677308957</v>
      </c>
    </row>
    <row r="297" spans="1:11" x14ac:dyDescent="0.2">
      <c r="A297" t="s">
        <v>1216</v>
      </c>
      <c r="B297" t="s">
        <v>1273</v>
      </c>
      <c r="C297" t="s">
        <v>1285</v>
      </c>
      <c r="D297" t="s">
        <v>1286</v>
      </c>
      <c r="E297" t="s">
        <v>58</v>
      </c>
      <c r="F297" t="s">
        <v>5</v>
      </c>
      <c r="G297" t="s">
        <v>24</v>
      </c>
      <c r="H297">
        <f>7955*(1.01^10)</f>
        <v>8787.2690076461331</v>
      </c>
      <c r="I297">
        <f>32753*(1.01^10)</f>
        <v>36179.688473593189</v>
      </c>
      <c r="J297" t="s">
        <v>1287</v>
      </c>
      <c r="K297">
        <f t="shared" si="4"/>
        <v>263.7647560964387</v>
      </c>
    </row>
    <row r="298" spans="1:11" x14ac:dyDescent="0.2">
      <c r="A298" t="s">
        <v>1216</v>
      </c>
      <c r="B298" t="s">
        <v>1273</v>
      </c>
      <c r="C298" t="s">
        <v>1289</v>
      </c>
      <c r="D298" t="s">
        <v>1290</v>
      </c>
      <c r="E298" t="s">
        <v>1089</v>
      </c>
      <c r="F298" t="s">
        <v>56</v>
      </c>
      <c r="G298" t="s">
        <v>17</v>
      </c>
      <c r="H298">
        <f>26919*(1.01^10)</f>
        <v>29735.322993944221</v>
      </c>
      <c r="I298">
        <f>117607*(1.01^10)</f>
        <v>129911.29430323555</v>
      </c>
      <c r="J298" t="s">
        <v>1291</v>
      </c>
      <c r="K298">
        <f t="shared" si="4"/>
        <v>286.5078819499285</v>
      </c>
    </row>
    <row r="299" spans="1:11" x14ac:dyDescent="0.2">
      <c r="A299" t="s">
        <v>1216</v>
      </c>
      <c r="B299" t="s">
        <v>1273</v>
      </c>
      <c r="C299" t="s">
        <v>1292</v>
      </c>
      <c r="D299" t="s">
        <v>1293</v>
      </c>
      <c r="E299" t="s">
        <v>1269</v>
      </c>
      <c r="F299" t="s">
        <v>382</v>
      </c>
      <c r="G299" t="s">
        <v>24</v>
      </c>
      <c r="H299">
        <f>12409*(1.01^10)</f>
        <v>13707.255954227639</v>
      </c>
      <c r="I299">
        <f>74083*(1.01^10)</f>
        <v>81833.720916838283</v>
      </c>
      <c r="J299" t="s">
        <v>1294</v>
      </c>
      <c r="K299">
        <f t="shared" si="4"/>
        <v>147.37217172307757</v>
      </c>
    </row>
    <row r="300" spans="1:11" x14ac:dyDescent="0.2">
      <c r="A300" t="s">
        <v>1216</v>
      </c>
      <c r="B300" t="s">
        <v>1273</v>
      </c>
      <c r="C300" t="s">
        <v>1296</v>
      </c>
      <c r="D300" t="s">
        <v>1297</v>
      </c>
      <c r="E300" t="s">
        <v>1298</v>
      </c>
      <c r="F300" t="s">
        <v>744</v>
      </c>
      <c r="G300" t="s">
        <v>11</v>
      </c>
      <c r="H300">
        <f>23221*(1.01^10)</f>
        <v>25650.430374173586</v>
      </c>
      <c r="I300">
        <f>105680*(1.01^10)</f>
        <v>116736.46621345612</v>
      </c>
      <c r="J300" t="s">
        <v>1299</v>
      </c>
      <c r="K300">
        <f t="shared" si="4"/>
        <v>232.90675429334979</v>
      </c>
    </row>
    <row r="301" spans="1:11" x14ac:dyDescent="0.2">
      <c r="A301" t="s">
        <v>1216</v>
      </c>
      <c r="B301" t="s">
        <v>1300</v>
      </c>
      <c r="C301" t="s">
        <v>1301</v>
      </c>
      <c r="D301" t="s">
        <v>1302</v>
      </c>
      <c r="E301" t="s">
        <v>1303</v>
      </c>
      <c r="F301" t="s">
        <v>24</v>
      </c>
      <c r="G301" t="s">
        <v>12</v>
      </c>
      <c r="H301">
        <f>6158*(1.01^10)</f>
        <v>6802.2630482821987</v>
      </c>
      <c r="I301">
        <f>49607*(1.01^10)</f>
        <v>54796.989775273636</v>
      </c>
      <c r="J301" t="s">
        <v>1304</v>
      </c>
      <c r="K301">
        <f t="shared" si="4"/>
        <v>120.61360985344011</v>
      </c>
    </row>
    <row r="302" spans="1:11" x14ac:dyDescent="0.2">
      <c r="A302" t="s">
        <v>1216</v>
      </c>
      <c r="B302" t="s">
        <v>1300</v>
      </c>
      <c r="C302" t="s">
        <v>1305</v>
      </c>
      <c r="D302" t="s">
        <v>1306</v>
      </c>
      <c r="E302" t="s">
        <v>253</v>
      </c>
      <c r="F302" t="s">
        <v>17</v>
      </c>
      <c r="G302" t="s">
        <v>24</v>
      </c>
      <c r="H302">
        <f>4715*(1.01^10)</f>
        <v>5208.2933213138303</v>
      </c>
      <c r="I302">
        <f>33926*(1.01^10)</f>
        <v>37475.410226700529</v>
      </c>
      <c r="J302" t="s">
        <v>1307</v>
      </c>
      <c r="K302">
        <f t="shared" si="4"/>
        <v>74.487757012762913</v>
      </c>
    </row>
    <row r="303" spans="1:11" x14ac:dyDescent="0.2">
      <c r="A303" t="s">
        <v>1216</v>
      </c>
      <c r="B303" t="s">
        <v>1300</v>
      </c>
      <c r="C303" t="s">
        <v>1308</v>
      </c>
      <c r="D303" t="s">
        <v>1309</v>
      </c>
      <c r="E303" t="s">
        <v>1115</v>
      </c>
      <c r="F303" t="s">
        <v>12</v>
      </c>
      <c r="G303" t="s">
        <v>24</v>
      </c>
      <c r="H303">
        <f>6421*(1.01^10)</f>
        <v>7092.7786672653456</v>
      </c>
      <c r="I303">
        <f>47329*(1.01^10)</f>
        <v>52280.660573586909</v>
      </c>
      <c r="J303" t="s">
        <v>1310</v>
      </c>
      <c r="K303">
        <f t="shared" si="4"/>
        <v>196.00731324901741</v>
      </c>
    </row>
    <row r="304" spans="1:11" x14ac:dyDescent="0.2">
      <c r="A304" t="s">
        <v>1216</v>
      </c>
      <c r="B304" t="s">
        <v>1300</v>
      </c>
      <c r="C304" t="s">
        <v>1311</v>
      </c>
      <c r="D304" t="s">
        <v>1312</v>
      </c>
      <c r="E304" t="s">
        <v>1233</v>
      </c>
      <c r="F304" t="s">
        <v>92</v>
      </c>
      <c r="G304" t="s">
        <v>5</v>
      </c>
      <c r="H304">
        <f>62160*(1.01^10)</f>
        <v>68663.311315560481</v>
      </c>
      <c r="I304">
        <f>317482*(1.01^10)</f>
        <v>350697.64161980012</v>
      </c>
      <c r="J304" t="s">
        <v>1313</v>
      </c>
      <c r="K304">
        <f t="shared" si="4"/>
        <v>503.2272724150385</v>
      </c>
    </row>
    <row r="305" spans="1:11" x14ac:dyDescent="0.2">
      <c r="A305" t="s">
        <v>1216</v>
      </c>
      <c r="B305" t="s">
        <v>1300</v>
      </c>
      <c r="C305" t="s">
        <v>1314</v>
      </c>
      <c r="D305" t="s">
        <v>1315</v>
      </c>
      <c r="E305" t="s">
        <v>1282</v>
      </c>
      <c r="F305" t="s">
        <v>152</v>
      </c>
      <c r="G305" t="s">
        <v>405</v>
      </c>
      <c r="H305">
        <f>213030*(1.01^10)</f>
        <v>235317.65137634895</v>
      </c>
      <c r="I305">
        <f>988007*(1.01^10)</f>
        <v>1091374.3922611482</v>
      </c>
      <c r="J305" t="s">
        <v>1316</v>
      </c>
      <c r="K305">
        <f t="shared" si="4"/>
        <v>1638.1292998639506</v>
      </c>
    </row>
    <row r="306" spans="1:11" x14ac:dyDescent="0.2">
      <c r="A306" t="s">
        <v>1216</v>
      </c>
      <c r="B306" t="s">
        <v>1300</v>
      </c>
      <c r="C306" t="s">
        <v>1317</v>
      </c>
      <c r="D306" t="s">
        <v>1318</v>
      </c>
      <c r="E306" t="s">
        <v>324</v>
      </c>
      <c r="F306" t="s">
        <v>12</v>
      </c>
      <c r="G306" t="s">
        <v>6</v>
      </c>
      <c r="H306">
        <f>54517*(1.01^10)</f>
        <v>60220.684411042646</v>
      </c>
      <c r="I306">
        <f>260343*(1.01^10)</f>
        <v>287580.63799592928</v>
      </c>
      <c r="J306" t="s">
        <v>1319</v>
      </c>
      <c r="K306">
        <f t="shared" si="4"/>
        <v>574.32840452911955</v>
      </c>
    </row>
    <row r="307" spans="1:11" x14ac:dyDescent="0.2">
      <c r="A307" t="s">
        <v>1216</v>
      </c>
      <c r="B307" t="s">
        <v>1320</v>
      </c>
      <c r="C307" t="s">
        <v>1321</v>
      </c>
      <c r="D307" t="s">
        <v>1322</v>
      </c>
      <c r="E307" t="s">
        <v>486</v>
      </c>
      <c r="F307" t="s">
        <v>185</v>
      </c>
      <c r="G307" t="s">
        <v>12</v>
      </c>
      <c r="H307">
        <f>12828*(1.01^10)</f>
        <v>14170.092624774934</v>
      </c>
      <c r="I307">
        <f>53689*(1.01^10)</f>
        <v>59306.057291202174</v>
      </c>
      <c r="J307" t="s">
        <v>1323</v>
      </c>
      <c r="K307">
        <f t="shared" si="4"/>
        <v>418.05324413535629</v>
      </c>
    </row>
    <row r="308" spans="1:11" x14ac:dyDescent="0.2">
      <c r="A308" t="s">
        <v>1216</v>
      </c>
      <c r="B308" t="s">
        <v>1320</v>
      </c>
      <c r="C308" t="s">
        <v>1325</v>
      </c>
      <c r="D308" t="s">
        <v>1326</v>
      </c>
      <c r="E308" t="s">
        <v>1327</v>
      </c>
      <c r="F308" t="s">
        <v>1328</v>
      </c>
      <c r="G308" t="s">
        <v>12</v>
      </c>
      <c r="H308">
        <f>34134*(1.01^10)</f>
        <v>37705.171628786062</v>
      </c>
      <c r="I308">
        <f>135718*(1.01^10)</f>
        <v>149917.10561655788</v>
      </c>
      <c r="J308" t="s">
        <v>1329</v>
      </c>
      <c r="K308">
        <f t="shared" si="4"/>
        <v>195.40557021078828</v>
      </c>
    </row>
    <row r="309" spans="1:11" x14ac:dyDescent="0.2">
      <c r="A309" t="s">
        <v>1216</v>
      </c>
      <c r="B309" t="s">
        <v>1320</v>
      </c>
      <c r="C309" t="s">
        <v>1330</v>
      </c>
      <c r="D309" t="s">
        <v>1331</v>
      </c>
      <c r="E309" t="s">
        <v>1332</v>
      </c>
      <c r="F309" t="s">
        <v>142</v>
      </c>
      <c r="G309" t="s">
        <v>24</v>
      </c>
      <c r="H309">
        <f>19679*(1.01^10)</f>
        <v>21737.858805967098</v>
      </c>
      <c r="I309">
        <f>92286*(1.01^10)</f>
        <v>101941.15746569844</v>
      </c>
      <c r="J309" t="s">
        <v>1333</v>
      </c>
      <c r="K309">
        <f t="shared" si="4"/>
        <v>122.93769882779935</v>
      </c>
    </row>
    <row r="310" spans="1:11" x14ac:dyDescent="0.2">
      <c r="A310" t="s">
        <v>1216</v>
      </c>
      <c r="B310" t="s">
        <v>1320</v>
      </c>
      <c r="C310" t="s">
        <v>1334</v>
      </c>
      <c r="D310" t="s">
        <v>1335</v>
      </c>
      <c r="E310" t="s">
        <v>653</v>
      </c>
      <c r="F310" t="s">
        <v>445</v>
      </c>
      <c r="G310" t="s">
        <v>24</v>
      </c>
      <c r="H310">
        <f>9600*(1.01^10)</f>
        <v>10604.372403947566</v>
      </c>
      <c r="I310">
        <f>39230*(1.01^10)</f>
        <v>43334.325979881563</v>
      </c>
      <c r="J310" t="s">
        <v>1336</v>
      </c>
      <c r="K310">
        <f t="shared" si="4"/>
        <v>115.14658700364831</v>
      </c>
    </row>
    <row r="311" spans="1:11" x14ac:dyDescent="0.2">
      <c r="A311" t="s">
        <v>1216</v>
      </c>
      <c r="B311" t="s">
        <v>1320</v>
      </c>
      <c r="C311" t="s">
        <v>1337</v>
      </c>
      <c r="D311" t="s">
        <v>1338</v>
      </c>
      <c r="E311" t="s">
        <v>1339</v>
      </c>
      <c r="F311" t="s">
        <v>1340</v>
      </c>
      <c r="G311" t="s">
        <v>12</v>
      </c>
      <c r="H311">
        <f>18832*(1.01^10)</f>
        <v>20802.243865743807</v>
      </c>
      <c r="I311">
        <f>77621*(1.01^10)</f>
        <v>85741.87399654313</v>
      </c>
      <c r="J311" t="s">
        <v>1341</v>
      </c>
      <c r="K311">
        <f t="shared" si="4"/>
        <v>87.909665730616638</v>
      </c>
    </row>
    <row r="312" spans="1:11" x14ac:dyDescent="0.2">
      <c r="A312" t="s">
        <v>1216</v>
      </c>
      <c r="B312" t="s">
        <v>1320</v>
      </c>
      <c r="C312" t="s">
        <v>1342</v>
      </c>
      <c r="D312" t="s">
        <v>1343</v>
      </c>
      <c r="E312" t="s">
        <v>1122</v>
      </c>
      <c r="F312" t="s">
        <v>220</v>
      </c>
      <c r="G312" t="s">
        <v>24</v>
      </c>
      <c r="H312">
        <f>8106*(1.01^10)</f>
        <v>8954.0669485832259</v>
      </c>
      <c r="I312">
        <f>31494*(1.01^10)</f>
        <v>34788.969217700484</v>
      </c>
      <c r="J312" t="s">
        <v>1344</v>
      </c>
      <c r="K312">
        <f t="shared" si="4"/>
        <v>148.34797920370198</v>
      </c>
    </row>
    <row r="313" spans="1:11" x14ac:dyDescent="0.2">
      <c r="A313" t="s">
        <v>1216</v>
      </c>
      <c r="B313" t="s">
        <v>1320</v>
      </c>
      <c r="C313" t="s">
        <v>1345</v>
      </c>
      <c r="D313" t="s">
        <v>1346</v>
      </c>
      <c r="E313" t="s">
        <v>718</v>
      </c>
      <c r="F313" t="s">
        <v>674</v>
      </c>
      <c r="G313" t="s">
        <v>24</v>
      </c>
      <c r="H313">
        <f>9539*(1.01^10)</f>
        <v>10536.990454297482</v>
      </c>
      <c r="I313">
        <f>38436*(1.01^10)</f>
        <v>42457.256012305064</v>
      </c>
      <c r="J313" t="s">
        <v>1347</v>
      </c>
      <c r="K313">
        <f t="shared" si="4"/>
        <v>174.8675543221751</v>
      </c>
    </row>
    <row r="314" spans="1:11" x14ac:dyDescent="0.2">
      <c r="A314" t="s">
        <v>1216</v>
      </c>
      <c r="B314" t="s">
        <v>1320</v>
      </c>
      <c r="C314" t="s">
        <v>1348</v>
      </c>
      <c r="D314" t="s">
        <v>1349</v>
      </c>
      <c r="E314" t="s">
        <v>1350</v>
      </c>
      <c r="F314" t="s">
        <v>318</v>
      </c>
      <c r="G314" t="s">
        <v>5</v>
      </c>
      <c r="H314">
        <f>39216*(1.01^10)</f>
        <v>43318.861270125803</v>
      </c>
      <c r="I314">
        <f>175232*(1.01^10)</f>
        <v>193565.14428005624</v>
      </c>
      <c r="J314" t="s">
        <v>1351</v>
      </c>
      <c r="K314">
        <f t="shared" si="4"/>
        <v>160.67097547172912</v>
      </c>
    </row>
    <row r="315" spans="1:11" x14ac:dyDescent="0.2">
      <c r="A315" t="s">
        <v>1216</v>
      </c>
      <c r="B315" t="s">
        <v>1320</v>
      </c>
      <c r="C315" t="s">
        <v>1353</v>
      </c>
      <c r="D315" t="s">
        <v>1354</v>
      </c>
      <c r="E315" t="s">
        <v>242</v>
      </c>
      <c r="F315" t="s">
        <v>274</v>
      </c>
      <c r="G315" t="s">
        <v>12</v>
      </c>
      <c r="H315">
        <f>9844*(1.01^10)</f>
        <v>10873.9002025479</v>
      </c>
      <c r="I315">
        <f>43565*(1.01^10)</f>
        <v>48122.862893539132</v>
      </c>
      <c r="J315" t="s">
        <v>1355</v>
      </c>
      <c r="K315">
        <f t="shared" si="4"/>
        <v>86.396522250519084</v>
      </c>
    </row>
    <row r="316" spans="1:11" x14ac:dyDescent="0.2">
      <c r="A316" t="s">
        <v>1216</v>
      </c>
      <c r="B316" t="s">
        <v>1356</v>
      </c>
      <c r="C316" t="s">
        <v>1357</v>
      </c>
      <c r="D316" t="s">
        <v>1358</v>
      </c>
      <c r="E316" t="s">
        <v>848</v>
      </c>
      <c r="F316" t="s">
        <v>382</v>
      </c>
      <c r="G316" t="s">
        <v>24</v>
      </c>
      <c r="H316">
        <f>11285*(1.01^10)</f>
        <v>12465.660685265446</v>
      </c>
      <c r="I316">
        <f>46523*(1.01^10)</f>
        <v>51390.335140505478</v>
      </c>
      <c r="J316" t="s">
        <v>1359</v>
      </c>
      <c r="K316">
        <f t="shared" si="4"/>
        <v>18.767200307917598</v>
      </c>
    </row>
    <row r="317" spans="1:11" x14ac:dyDescent="0.2">
      <c r="A317" t="s">
        <v>1216</v>
      </c>
      <c r="B317" t="s">
        <v>1356</v>
      </c>
      <c r="C317" t="s">
        <v>1360</v>
      </c>
      <c r="D317" t="s">
        <v>1361</v>
      </c>
      <c r="E317" t="s">
        <v>1362</v>
      </c>
      <c r="F317" t="s">
        <v>108</v>
      </c>
      <c r="G317" t="s">
        <v>12</v>
      </c>
      <c r="H317">
        <f>14714*(1.01^10)</f>
        <v>16253.409953300466</v>
      </c>
      <c r="I317">
        <f>65689*(1.01^10)</f>
        <v>72561.522796136633</v>
      </c>
      <c r="J317" t="s">
        <v>1363</v>
      </c>
      <c r="K317">
        <f t="shared" si="4"/>
        <v>26.971868130336361</v>
      </c>
    </row>
    <row r="318" spans="1:11" x14ac:dyDescent="0.2">
      <c r="A318" t="s">
        <v>1216</v>
      </c>
      <c r="B318" t="s">
        <v>1356</v>
      </c>
      <c r="C318" t="s">
        <v>1364</v>
      </c>
      <c r="D318" t="s">
        <v>1365</v>
      </c>
      <c r="E318" t="s">
        <v>1366</v>
      </c>
      <c r="F318" t="s">
        <v>458</v>
      </c>
      <c r="G318" t="s">
        <v>12</v>
      </c>
      <c r="H318">
        <f>19624*(1.01^10)</f>
        <v>21677.10458906948</v>
      </c>
      <c r="I318">
        <f>80411*(1.01^10)</f>
        <v>88823.769726440383</v>
      </c>
      <c r="J318" t="s">
        <v>1367</v>
      </c>
      <c r="K318">
        <f t="shared" si="4"/>
        <v>164.6108670042407</v>
      </c>
    </row>
    <row r="319" spans="1:11" x14ac:dyDescent="0.2">
      <c r="A319" t="s">
        <v>1216</v>
      </c>
      <c r="B319" t="s">
        <v>1356</v>
      </c>
      <c r="C319" t="s">
        <v>1368</v>
      </c>
      <c r="D319" t="s">
        <v>1369</v>
      </c>
      <c r="E319" t="s">
        <v>1370</v>
      </c>
      <c r="F319" t="s">
        <v>44</v>
      </c>
      <c r="G319" t="s">
        <v>24</v>
      </c>
      <c r="H319">
        <f>12386*(1.01^10)</f>
        <v>13681.849645343182</v>
      </c>
      <c r="I319">
        <f>52069*(1.01^10)</f>
        <v>57516.569448036018</v>
      </c>
      <c r="J319" t="s">
        <v>1371</v>
      </c>
      <c r="K319">
        <f t="shared" si="4"/>
        <v>214.03606603761176</v>
      </c>
    </row>
    <row r="320" spans="1:11" x14ac:dyDescent="0.2">
      <c r="A320" t="s">
        <v>1216</v>
      </c>
      <c r="B320" t="s">
        <v>1356</v>
      </c>
      <c r="C320" t="s">
        <v>1372</v>
      </c>
      <c r="D320" t="s">
        <v>1373</v>
      </c>
      <c r="E320" t="s">
        <v>1374</v>
      </c>
      <c r="F320" t="s">
        <v>56</v>
      </c>
      <c r="G320" t="s">
        <v>24</v>
      </c>
      <c r="H320">
        <f>16412*(1.01^10)</f>
        <v>18129.058322248693</v>
      </c>
      <c r="I320">
        <f>71946*(1.01^10)</f>
        <v>79473.143434834536</v>
      </c>
      <c r="J320" t="s">
        <v>1375</v>
      </c>
      <c r="K320">
        <f t="shared" si="4"/>
        <v>229.15728442811849</v>
      </c>
    </row>
    <row r="321" spans="1:11" x14ac:dyDescent="0.2">
      <c r="A321" t="s">
        <v>1216</v>
      </c>
      <c r="B321" t="s">
        <v>1356</v>
      </c>
      <c r="C321" t="s">
        <v>1376</v>
      </c>
      <c r="D321" t="s">
        <v>1377</v>
      </c>
      <c r="E321" t="s">
        <v>1378</v>
      </c>
      <c r="F321" t="s">
        <v>61</v>
      </c>
      <c r="G321" t="s">
        <v>12</v>
      </c>
      <c r="H321">
        <f>40309*(1.01^10)</f>
        <v>44526.213253200251</v>
      </c>
      <c r="I321">
        <f>166801*(1.01^10)</f>
        <v>184252.07514071435</v>
      </c>
      <c r="J321" t="s">
        <v>1379</v>
      </c>
      <c r="K321">
        <f t="shared" si="4"/>
        <v>363.92360700962979</v>
      </c>
    </row>
    <row r="322" spans="1:11" x14ac:dyDescent="0.2">
      <c r="A322" t="s">
        <v>1216</v>
      </c>
      <c r="B322" t="s">
        <v>1380</v>
      </c>
      <c r="C322" t="s">
        <v>1381</v>
      </c>
      <c r="D322" t="s">
        <v>1382</v>
      </c>
      <c r="E322" t="s">
        <v>568</v>
      </c>
      <c r="F322" t="s">
        <v>405</v>
      </c>
      <c r="G322" t="s">
        <v>24</v>
      </c>
      <c r="H322">
        <f>13909*(1.01^10)</f>
        <v>15364.189142344447</v>
      </c>
      <c r="I322">
        <f>64894*(1.01^10)</f>
        <v>71683.348206434719</v>
      </c>
      <c r="J322" t="s">
        <v>1383</v>
      </c>
      <c r="K322">
        <f t="shared" si="4"/>
        <v>66.373470561513628</v>
      </c>
    </row>
    <row r="323" spans="1:11" x14ac:dyDescent="0.2">
      <c r="A323" t="s">
        <v>1216</v>
      </c>
      <c r="B323" t="s">
        <v>1380</v>
      </c>
      <c r="C323" t="s">
        <v>1384</v>
      </c>
      <c r="D323" t="s">
        <v>1385</v>
      </c>
      <c r="E323" t="s">
        <v>598</v>
      </c>
      <c r="F323" t="s">
        <v>422</v>
      </c>
      <c r="G323" t="s">
        <v>24</v>
      </c>
      <c r="H323">
        <f>6342*(1.01^10)</f>
        <v>7005.5135193578608</v>
      </c>
      <c r="I323">
        <f>26272*(1.01^10)</f>
        <v>29020.632478803171</v>
      </c>
      <c r="J323" t="s">
        <v>1386</v>
      </c>
      <c r="K323">
        <f t="shared" ref="K323:K386" si="5">I323/J323</f>
        <v>98.857584407968289</v>
      </c>
    </row>
    <row r="324" spans="1:11" x14ac:dyDescent="0.2">
      <c r="A324" t="s">
        <v>1216</v>
      </c>
      <c r="B324" t="s">
        <v>1380</v>
      </c>
      <c r="C324" t="s">
        <v>1388</v>
      </c>
      <c r="D324" t="s">
        <v>1389</v>
      </c>
      <c r="E324" t="s">
        <v>1324</v>
      </c>
      <c r="F324" t="s">
        <v>72</v>
      </c>
      <c r="G324" t="s">
        <v>12</v>
      </c>
      <c r="H324">
        <f>22603*(1.01^10)</f>
        <v>24967.773900669461</v>
      </c>
      <c r="I324">
        <f>100103*(1.01^10)</f>
        <v>110575.98862003782</v>
      </c>
      <c r="J324" t="s">
        <v>1390</v>
      </c>
      <c r="K324">
        <f t="shared" si="5"/>
        <v>223.98057762621661</v>
      </c>
    </row>
    <row r="325" spans="1:11" x14ac:dyDescent="0.2">
      <c r="A325" t="s">
        <v>1216</v>
      </c>
      <c r="B325" t="s">
        <v>1380</v>
      </c>
      <c r="C325" t="s">
        <v>1391</v>
      </c>
      <c r="D325" t="s">
        <v>1392</v>
      </c>
      <c r="E325" t="s">
        <v>396</v>
      </c>
      <c r="F325" t="s">
        <v>6</v>
      </c>
      <c r="G325" t="s">
        <v>24</v>
      </c>
      <c r="H325">
        <f>15192*(1.01^10)</f>
        <v>16781.419329247023</v>
      </c>
      <c r="I325">
        <f>68629*(1.01^10)</f>
        <v>75809.111844845567</v>
      </c>
      <c r="J325" t="s">
        <v>1393</v>
      </c>
      <c r="K325">
        <f t="shared" si="5"/>
        <v>202.83381250685736</v>
      </c>
    </row>
    <row r="326" spans="1:11" x14ac:dyDescent="0.2">
      <c r="A326" t="s">
        <v>1216</v>
      </c>
      <c r="B326" t="s">
        <v>1394</v>
      </c>
      <c r="C326" t="s">
        <v>1395</v>
      </c>
      <c r="D326" t="s">
        <v>1396</v>
      </c>
      <c r="E326" t="s">
        <v>1397</v>
      </c>
      <c r="F326" t="s">
        <v>1340</v>
      </c>
      <c r="G326" t="s">
        <v>24</v>
      </c>
      <c r="H326">
        <f>16994*(1.01^10)</f>
        <v>18771.948399238012</v>
      </c>
      <c r="I326">
        <f>70487*(1.01^10)</f>
        <v>77861.499753859593</v>
      </c>
      <c r="J326" t="s">
        <v>1398</v>
      </c>
      <c r="K326">
        <f t="shared" si="5"/>
        <v>190.42261755305563</v>
      </c>
    </row>
    <row r="327" spans="1:11" x14ac:dyDescent="0.2">
      <c r="A327" t="s">
        <v>1216</v>
      </c>
      <c r="B327" t="s">
        <v>1394</v>
      </c>
      <c r="C327" t="s">
        <v>1399</v>
      </c>
      <c r="D327" t="s">
        <v>1400</v>
      </c>
      <c r="E327" t="s">
        <v>1401</v>
      </c>
      <c r="F327" t="s">
        <v>382</v>
      </c>
      <c r="G327" t="s">
        <v>24</v>
      </c>
      <c r="H327">
        <f>10832*(1.01^10)</f>
        <v>11965.266862454169</v>
      </c>
      <c r="I327">
        <f>46051*(1.01^10)</f>
        <v>50868.953497311391</v>
      </c>
      <c r="J327" t="s">
        <v>1402</v>
      </c>
      <c r="K327">
        <f t="shared" si="5"/>
        <v>149.24160050531694</v>
      </c>
    </row>
    <row r="328" spans="1:11" x14ac:dyDescent="0.2">
      <c r="A328" t="s">
        <v>1216</v>
      </c>
      <c r="B328" t="s">
        <v>1394</v>
      </c>
      <c r="C328" t="s">
        <v>1403</v>
      </c>
      <c r="D328" t="s">
        <v>1404</v>
      </c>
      <c r="E328" t="s">
        <v>1405</v>
      </c>
      <c r="F328" t="s">
        <v>5</v>
      </c>
      <c r="G328" t="s">
        <v>24</v>
      </c>
      <c r="H328">
        <f>12778*(1.01^10)</f>
        <v>14114.861518504375</v>
      </c>
      <c r="I328">
        <f>57126*(1.01^10)</f>
        <v>63102.643536240481</v>
      </c>
      <c r="J328" t="s">
        <v>1406</v>
      </c>
      <c r="K328">
        <f t="shared" si="5"/>
        <v>155.38362615293175</v>
      </c>
    </row>
    <row r="329" spans="1:11" x14ac:dyDescent="0.2">
      <c r="A329" t="s">
        <v>1216</v>
      </c>
      <c r="B329" t="s">
        <v>1394</v>
      </c>
      <c r="C329" t="s">
        <v>1407</v>
      </c>
      <c r="D329" t="s">
        <v>1408</v>
      </c>
      <c r="E329" t="s">
        <v>1200</v>
      </c>
      <c r="F329" t="s">
        <v>6</v>
      </c>
      <c r="G329" t="s">
        <v>12</v>
      </c>
      <c r="H329">
        <f>22316*(1.01^10)</f>
        <v>24650.747350676444</v>
      </c>
      <c r="I329">
        <f>100124*(1.01^10)</f>
        <v>110599.18568467147</v>
      </c>
      <c r="J329" t="s">
        <v>1409</v>
      </c>
      <c r="K329">
        <f t="shared" si="5"/>
        <v>283.87249230037582</v>
      </c>
    </row>
    <row r="330" spans="1:11" x14ac:dyDescent="0.2">
      <c r="A330" t="s">
        <v>1216</v>
      </c>
      <c r="B330" t="s">
        <v>1394</v>
      </c>
      <c r="C330" t="s">
        <v>1411</v>
      </c>
      <c r="D330" t="s">
        <v>1412</v>
      </c>
      <c r="E330" t="s">
        <v>144</v>
      </c>
      <c r="F330" t="s">
        <v>318</v>
      </c>
      <c r="G330" t="s">
        <v>12</v>
      </c>
      <c r="H330">
        <f>13087*(1.01^10)</f>
        <v>14456.189755256437</v>
      </c>
      <c r="I330">
        <f>55068*(1.01^10)</f>
        <v>60829.331202144225</v>
      </c>
      <c r="J330" t="s">
        <v>1413</v>
      </c>
      <c r="K330">
        <f t="shared" si="5"/>
        <v>229.23391292601517</v>
      </c>
    </row>
    <row r="331" spans="1:11" x14ac:dyDescent="0.2">
      <c r="A331" t="s">
        <v>1216</v>
      </c>
      <c r="B331" t="s">
        <v>1394</v>
      </c>
      <c r="C331" t="s">
        <v>1414</v>
      </c>
      <c r="D331" t="s">
        <v>1415</v>
      </c>
      <c r="E331" t="s">
        <v>948</v>
      </c>
      <c r="F331" t="s">
        <v>427</v>
      </c>
      <c r="G331" t="s">
        <v>11</v>
      </c>
      <c r="H331">
        <f>36357*(1.01^10)</f>
        <v>40160.746613575167</v>
      </c>
      <c r="I331">
        <f>164563*(1.01^10)</f>
        <v>181779.93082404407</v>
      </c>
      <c r="J331" t="s">
        <v>1416</v>
      </c>
      <c r="K331">
        <f t="shared" si="5"/>
        <v>279.54794039413059</v>
      </c>
    </row>
    <row r="332" spans="1:11" x14ac:dyDescent="0.2">
      <c r="A332" t="s">
        <v>1216</v>
      </c>
      <c r="B332" t="s">
        <v>1394</v>
      </c>
      <c r="C332" t="s">
        <v>1418</v>
      </c>
      <c r="D332" t="s">
        <v>1419</v>
      </c>
      <c r="E332" t="s">
        <v>784</v>
      </c>
      <c r="F332" t="s">
        <v>744</v>
      </c>
      <c r="G332" t="s">
        <v>24</v>
      </c>
      <c r="H332">
        <f>9697*(1.01^10)</f>
        <v>10711.520750112453</v>
      </c>
      <c r="I332">
        <f>40282*(1.01^10)</f>
        <v>44496.388455814151</v>
      </c>
      <c r="J332" t="s">
        <v>1420</v>
      </c>
      <c r="K332">
        <f t="shared" si="5"/>
        <v>201.98501102608597</v>
      </c>
    </row>
    <row r="333" spans="1:11" x14ac:dyDescent="0.2">
      <c r="A333" t="s">
        <v>1216</v>
      </c>
      <c r="B333" t="s">
        <v>1394</v>
      </c>
      <c r="C333" t="s">
        <v>1421</v>
      </c>
      <c r="D333" t="s">
        <v>1422</v>
      </c>
      <c r="E333" t="s">
        <v>839</v>
      </c>
      <c r="F333" t="s">
        <v>152</v>
      </c>
      <c r="G333" t="s">
        <v>24</v>
      </c>
      <c r="H333">
        <f>6349*(1.01^10)</f>
        <v>7013.2458742357394</v>
      </c>
      <c r="I333">
        <f>30981*(1.01^10)</f>
        <v>34222.298067364536</v>
      </c>
      <c r="J333" t="s">
        <v>1423</v>
      </c>
      <c r="K333">
        <f t="shared" si="5"/>
        <v>283.68103124778276</v>
      </c>
    </row>
    <row r="334" spans="1:11" x14ac:dyDescent="0.2">
      <c r="A334" t="s">
        <v>1216</v>
      </c>
      <c r="B334" t="s">
        <v>1394</v>
      </c>
      <c r="C334" t="s">
        <v>1424</v>
      </c>
      <c r="D334" t="s">
        <v>1425</v>
      </c>
      <c r="E334" t="s">
        <v>1032</v>
      </c>
      <c r="F334" t="s">
        <v>5</v>
      </c>
      <c r="G334" t="s">
        <v>24</v>
      </c>
      <c r="H334">
        <f>12167*(1.01^10)</f>
        <v>13439.937399878128</v>
      </c>
      <c r="I334">
        <f>57824*(1.01^10)</f>
        <v>63873.669779777505</v>
      </c>
      <c r="J334" t="s">
        <v>1426</v>
      </c>
      <c r="K334">
        <f t="shared" si="5"/>
        <v>186.76935468200077</v>
      </c>
    </row>
    <row r="335" spans="1:11" x14ac:dyDescent="0.2">
      <c r="A335" t="s">
        <v>1216</v>
      </c>
      <c r="B335" t="s">
        <v>1427</v>
      </c>
      <c r="C335" t="s">
        <v>1428</v>
      </c>
      <c r="D335" t="s">
        <v>1429</v>
      </c>
      <c r="E335" t="s">
        <v>1430</v>
      </c>
      <c r="F335" t="s">
        <v>411</v>
      </c>
      <c r="G335" t="s">
        <v>12</v>
      </c>
      <c r="H335">
        <f>11902*(1.01^10)</f>
        <v>13147.21253664416</v>
      </c>
      <c r="I335">
        <f>54524*(1.01^10)</f>
        <v>60228.416765920527</v>
      </c>
      <c r="J335" t="s">
        <v>1431</v>
      </c>
      <c r="K335">
        <f t="shared" si="5"/>
        <v>114.57327198598385</v>
      </c>
    </row>
    <row r="336" spans="1:11" x14ac:dyDescent="0.2">
      <c r="A336" t="s">
        <v>1216</v>
      </c>
      <c r="B336" t="s">
        <v>1427</v>
      </c>
      <c r="C336" t="s">
        <v>1432</v>
      </c>
      <c r="D336" t="s">
        <v>1433</v>
      </c>
      <c r="E336" t="s">
        <v>679</v>
      </c>
      <c r="F336" t="s">
        <v>6</v>
      </c>
      <c r="G336" t="s">
        <v>24</v>
      </c>
      <c r="H336">
        <f>8467*(1.01^10)</f>
        <v>9352.8355358566714</v>
      </c>
      <c r="I336">
        <f>45504*(1.01^10)</f>
        <v>50264.725194711464</v>
      </c>
      <c r="J336" t="s">
        <v>1434</v>
      </c>
      <c r="K336">
        <f t="shared" si="5"/>
        <v>148.18788340013722</v>
      </c>
    </row>
    <row r="337" spans="1:11" x14ac:dyDescent="0.2">
      <c r="A337" t="s">
        <v>1216</v>
      </c>
      <c r="B337" t="s">
        <v>1427</v>
      </c>
      <c r="C337" t="s">
        <v>1435</v>
      </c>
      <c r="D337" t="s">
        <v>1436</v>
      </c>
      <c r="E337" t="s">
        <v>754</v>
      </c>
      <c r="F337" t="s">
        <v>422</v>
      </c>
      <c r="G337" t="s">
        <v>12</v>
      </c>
      <c r="H337">
        <f>18449*(1.01^10)</f>
        <v>20379.173591711315</v>
      </c>
      <c r="I337">
        <f>86477*(1.01^10)</f>
        <v>95524.407539184758</v>
      </c>
      <c r="J337" t="s">
        <v>1437</v>
      </c>
      <c r="K337">
        <f t="shared" si="5"/>
        <v>221.95212979245019</v>
      </c>
    </row>
    <row r="338" spans="1:11" x14ac:dyDescent="0.2">
      <c r="A338" t="s">
        <v>1216</v>
      </c>
      <c r="B338" t="s">
        <v>1427</v>
      </c>
      <c r="C338" t="s">
        <v>1438</v>
      </c>
      <c r="D338" t="s">
        <v>1439</v>
      </c>
      <c r="E338" t="s">
        <v>535</v>
      </c>
      <c r="F338" t="s">
        <v>108</v>
      </c>
      <c r="G338" t="s">
        <v>17</v>
      </c>
      <c r="H338">
        <f>15135*(1.01^10)</f>
        <v>16718.455868098583</v>
      </c>
      <c r="I338">
        <f>73143*(1.01^10)</f>
        <v>80795.376118951754</v>
      </c>
      <c r="J338" t="s">
        <v>1440</v>
      </c>
      <c r="K338">
        <f t="shared" si="5"/>
        <v>171.6297764210538</v>
      </c>
    </row>
    <row r="339" spans="1:11" x14ac:dyDescent="0.2">
      <c r="A339" t="s">
        <v>1216</v>
      </c>
      <c r="B339" t="s">
        <v>1442</v>
      </c>
      <c r="C339" t="s">
        <v>1443</v>
      </c>
      <c r="D339" t="s">
        <v>1444</v>
      </c>
      <c r="E339" t="s">
        <v>4</v>
      </c>
      <c r="F339" t="s">
        <v>152</v>
      </c>
      <c r="G339" t="s">
        <v>24</v>
      </c>
      <c r="H339">
        <f>6480*(1.01^10)</f>
        <v>7157.9513726646064</v>
      </c>
      <c r="I339">
        <f>31557*(1.01^10)</f>
        <v>34858.560411601386</v>
      </c>
      <c r="J339" t="s">
        <v>1445</v>
      </c>
      <c r="K339">
        <f t="shared" si="5"/>
        <v>164.01943450008059</v>
      </c>
    </row>
    <row r="340" spans="1:11" x14ac:dyDescent="0.2">
      <c r="A340" t="s">
        <v>1216</v>
      </c>
      <c r="B340" t="s">
        <v>1442</v>
      </c>
      <c r="C340" t="s">
        <v>1447</v>
      </c>
      <c r="D340" t="s">
        <v>1448</v>
      </c>
      <c r="E340" t="s">
        <v>121</v>
      </c>
      <c r="F340" t="s">
        <v>6</v>
      </c>
      <c r="G340" t="s">
        <v>24</v>
      </c>
      <c r="H340">
        <f>4357*(1.01^10)</f>
        <v>4812.8386004166186</v>
      </c>
      <c r="I340">
        <f>21265*(1.01^10)</f>
        <v>23489.789496869267</v>
      </c>
      <c r="J340" t="s">
        <v>1449</v>
      </c>
      <c r="K340">
        <f t="shared" si="5"/>
        <v>111.93284296186749</v>
      </c>
    </row>
    <row r="341" spans="1:11" x14ac:dyDescent="0.2">
      <c r="A341" t="s">
        <v>1216</v>
      </c>
      <c r="B341" t="s">
        <v>1442</v>
      </c>
      <c r="C341" t="s">
        <v>1450</v>
      </c>
      <c r="D341" t="s">
        <v>1451</v>
      </c>
      <c r="E341" t="s">
        <v>722</v>
      </c>
      <c r="F341" t="s">
        <v>44</v>
      </c>
      <c r="G341" t="s">
        <v>5</v>
      </c>
      <c r="H341">
        <f>31590*(1.01^10)</f>
        <v>34895.012941739958</v>
      </c>
      <c r="I341">
        <f>150389*(1.01^10)</f>
        <v>166123.01681846566</v>
      </c>
      <c r="J341" t="s">
        <v>1452</v>
      </c>
      <c r="K341">
        <f t="shared" si="5"/>
        <v>201.09504027467622</v>
      </c>
    </row>
    <row r="342" spans="1:11" x14ac:dyDescent="0.2">
      <c r="A342" t="s">
        <v>1216</v>
      </c>
      <c r="B342" t="s">
        <v>1442</v>
      </c>
      <c r="C342" t="s">
        <v>1453</v>
      </c>
      <c r="D342" t="s">
        <v>1454</v>
      </c>
      <c r="E342" t="s">
        <v>467</v>
      </c>
      <c r="F342" t="s">
        <v>744</v>
      </c>
      <c r="G342" t="s">
        <v>24</v>
      </c>
      <c r="H342">
        <f>13836*(1.01^10)</f>
        <v>15283.55172718943</v>
      </c>
      <c r="I342">
        <f>78733*(1.01^10)</f>
        <v>86970.213800000391</v>
      </c>
      <c r="J342" t="s">
        <v>1455</v>
      </c>
      <c r="K342">
        <f t="shared" si="5"/>
        <v>125.33465211619989</v>
      </c>
    </row>
    <row r="343" spans="1:11" x14ac:dyDescent="0.2">
      <c r="A343" t="s">
        <v>1216</v>
      </c>
      <c r="B343" t="s">
        <v>1442</v>
      </c>
      <c r="C343" t="s">
        <v>1456</v>
      </c>
      <c r="D343" t="s">
        <v>1457</v>
      </c>
      <c r="E343" t="s">
        <v>740</v>
      </c>
      <c r="F343" t="s">
        <v>17</v>
      </c>
      <c r="G343" t="s">
        <v>5</v>
      </c>
      <c r="H343">
        <f>74275*(1.01^10)</f>
        <v>82045.808364917233</v>
      </c>
      <c r="I343">
        <f>364129*(1.01^10)</f>
        <v>402224.94990385656</v>
      </c>
      <c r="J343" t="s">
        <v>1458</v>
      </c>
      <c r="K343">
        <f t="shared" si="5"/>
        <v>419.61445746319606</v>
      </c>
    </row>
    <row r="344" spans="1:11" x14ac:dyDescent="0.2">
      <c r="A344" t="s">
        <v>1216</v>
      </c>
      <c r="B344" t="s">
        <v>1442</v>
      </c>
      <c r="C344" t="s">
        <v>1460</v>
      </c>
      <c r="D344" t="s">
        <v>336</v>
      </c>
      <c r="E344" t="s">
        <v>568</v>
      </c>
      <c r="F344" t="s">
        <v>24</v>
      </c>
      <c r="G344" t="s">
        <v>12</v>
      </c>
      <c r="H344">
        <f>29914*(1.01^10)</f>
        <v>33043.666259550781</v>
      </c>
      <c r="I344">
        <f>153738*(1.01^10)</f>
        <v>169822.39631646778</v>
      </c>
      <c r="J344" t="s">
        <v>1461</v>
      </c>
      <c r="K344">
        <f t="shared" si="5"/>
        <v>202.94582185319891</v>
      </c>
    </row>
    <row r="345" spans="1:11" x14ac:dyDescent="0.2">
      <c r="A345" t="s">
        <v>1216</v>
      </c>
      <c r="B345" t="s">
        <v>1442</v>
      </c>
      <c r="C345" t="s">
        <v>1462</v>
      </c>
      <c r="D345" t="s">
        <v>1463</v>
      </c>
      <c r="E345" t="s">
        <v>404</v>
      </c>
      <c r="F345" t="s">
        <v>12</v>
      </c>
      <c r="G345" t="s">
        <v>12</v>
      </c>
      <c r="H345">
        <f>12016*(1.01^10)</f>
        <v>13273.139458941036</v>
      </c>
      <c r="I345">
        <f>60070*(1.01^10)</f>
        <v>66354.651073451067</v>
      </c>
      <c r="J345" t="s">
        <v>1464</v>
      </c>
      <c r="K345">
        <f t="shared" si="5"/>
        <v>163.15722050492531</v>
      </c>
    </row>
    <row r="346" spans="1:11" x14ac:dyDescent="0.2">
      <c r="A346" t="s">
        <v>1216</v>
      </c>
      <c r="B346" t="s">
        <v>1442</v>
      </c>
      <c r="C346" t="s">
        <v>1465</v>
      </c>
      <c r="D346" t="s">
        <v>1466</v>
      </c>
      <c r="E346" t="s">
        <v>23</v>
      </c>
      <c r="F346" t="s">
        <v>12</v>
      </c>
      <c r="G346" t="s">
        <v>12</v>
      </c>
      <c r="H346">
        <f>18915*(1.01^10)</f>
        <v>20893.927502152939</v>
      </c>
      <c r="I346">
        <f>94724*(1.01^10)</f>
        <v>104634.22620745096</v>
      </c>
      <c r="J346" t="s">
        <v>1467</v>
      </c>
      <c r="K346">
        <f t="shared" si="5"/>
        <v>981.73729629290096</v>
      </c>
    </row>
    <row r="347" spans="1:11" x14ac:dyDescent="0.2">
      <c r="A347" t="s">
        <v>1216</v>
      </c>
      <c r="B347" t="s">
        <v>1469</v>
      </c>
      <c r="C347" t="s">
        <v>1470</v>
      </c>
      <c r="D347" t="s">
        <v>1471</v>
      </c>
      <c r="E347" t="s">
        <v>1106</v>
      </c>
      <c r="F347" t="s">
        <v>24</v>
      </c>
      <c r="G347" t="s">
        <v>11</v>
      </c>
      <c r="H347">
        <f>53432*(1.01^10)</f>
        <v>59022.169404971493</v>
      </c>
      <c r="I347">
        <f>283136*(1.01^10)</f>
        <v>312758.29010042688</v>
      </c>
      <c r="J347" t="s">
        <v>1472</v>
      </c>
      <c r="K347">
        <f t="shared" si="5"/>
        <v>1564.5191382181515</v>
      </c>
    </row>
    <row r="348" spans="1:11" x14ac:dyDescent="0.2">
      <c r="A348" t="s">
        <v>1216</v>
      </c>
      <c r="B348" t="s">
        <v>1469</v>
      </c>
      <c r="C348" t="s">
        <v>1473</v>
      </c>
      <c r="D348" t="s">
        <v>1474</v>
      </c>
      <c r="E348" t="s">
        <v>611</v>
      </c>
      <c r="F348" t="s">
        <v>5</v>
      </c>
      <c r="G348" t="s">
        <v>17</v>
      </c>
      <c r="H348">
        <f>31022*(1.01^10)</f>
        <v>34267.587574506397</v>
      </c>
      <c r="I348">
        <f>170315*(1.01^10)</f>
        <v>188133.71728940934</v>
      </c>
      <c r="J348" t="s">
        <v>1475</v>
      </c>
      <c r="K348">
        <f t="shared" si="5"/>
        <v>774.51272757265099</v>
      </c>
    </row>
    <row r="349" spans="1:11" x14ac:dyDescent="0.2">
      <c r="A349" t="s">
        <v>1216</v>
      </c>
      <c r="B349" t="s">
        <v>1469</v>
      </c>
      <c r="C349" t="s">
        <v>1476</v>
      </c>
      <c r="D349" t="s">
        <v>1477</v>
      </c>
      <c r="E349" t="s">
        <v>479</v>
      </c>
      <c r="F349" t="s">
        <v>11</v>
      </c>
      <c r="G349" t="s">
        <v>11</v>
      </c>
      <c r="H349">
        <f>34323*(1.01^10)</f>
        <v>37913.945210488782</v>
      </c>
      <c r="I349">
        <f>188083*(1.01^10)</f>
        <v>207760.64321371561</v>
      </c>
      <c r="J349" t="s">
        <v>1478</v>
      </c>
      <c r="K349">
        <f t="shared" si="5"/>
        <v>657.66439451184283</v>
      </c>
    </row>
    <row r="350" spans="1:11" x14ac:dyDescent="0.2">
      <c r="A350" t="s">
        <v>1216</v>
      </c>
      <c r="B350" t="s">
        <v>1469</v>
      </c>
      <c r="C350" t="s">
        <v>1480</v>
      </c>
      <c r="D350" t="s">
        <v>1481</v>
      </c>
      <c r="E350" t="s">
        <v>337</v>
      </c>
      <c r="F350" t="s">
        <v>11</v>
      </c>
      <c r="G350" t="s">
        <v>5</v>
      </c>
      <c r="H350">
        <f>74194*(1.01^10)</f>
        <v>81956.333972758919</v>
      </c>
      <c r="I350">
        <f>390866*(1.01^10)</f>
        <v>431759.23167097598</v>
      </c>
      <c r="J350" t="s">
        <v>1482</v>
      </c>
      <c r="K350">
        <f t="shared" si="5"/>
        <v>942.51383261687283</v>
      </c>
    </row>
    <row r="351" spans="1:11" x14ac:dyDescent="0.2">
      <c r="A351" t="s">
        <v>1216</v>
      </c>
      <c r="B351" t="s">
        <v>1469</v>
      </c>
      <c r="C351" t="s">
        <v>1483</v>
      </c>
      <c r="D351" t="s">
        <v>1484</v>
      </c>
      <c r="E351" t="s">
        <v>1362</v>
      </c>
      <c r="F351" t="s">
        <v>24</v>
      </c>
      <c r="G351" t="s">
        <v>17</v>
      </c>
      <c r="H351">
        <f>33800*(1.01^10)</f>
        <v>37336.227838898718</v>
      </c>
      <c r="I351">
        <f>174848*(1.01^10)</f>
        <v>193140.96938389834</v>
      </c>
      <c r="J351" t="s">
        <v>1485</v>
      </c>
      <c r="K351">
        <f t="shared" si="5"/>
        <v>577.366262128931</v>
      </c>
    </row>
    <row r="352" spans="1:11" x14ac:dyDescent="0.2">
      <c r="A352" t="s">
        <v>1216</v>
      </c>
      <c r="B352" t="s">
        <v>1469</v>
      </c>
      <c r="C352" t="s">
        <v>1487</v>
      </c>
      <c r="D352" t="s">
        <v>1488</v>
      </c>
      <c r="E352" t="s">
        <v>766</v>
      </c>
      <c r="F352" t="s">
        <v>17</v>
      </c>
      <c r="G352" t="s">
        <v>17</v>
      </c>
      <c r="H352">
        <f>38888*(1.01^10)</f>
        <v>42956.545212990932</v>
      </c>
      <c r="I352">
        <f>214428*(1.01^10)</f>
        <v>236861.91310767381</v>
      </c>
      <c r="J352" t="s">
        <v>1489</v>
      </c>
      <c r="K352">
        <f t="shared" si="5"/>
        <v>580.41584570471355</v>
      </c>
    </row>
    <row r="353" spans="1:11" x14ac:dyDescent="0.2">
      <c r="A353" t="s">
        <v>1216</v>
      </c>
      <c r="B353" t="s">
        <v>1469</v>
      </c>
      <c r="C353" t="s">
        <v>1491</v>
      </c>
      <c r="D353" t="s">
        <v>1492</v>
      </c>
      <c r="E353" t="s">
        <v>32</v>
      </c>
      <c r="F353" t="s">
        <v>17</v>
      </c>
      <c r="G353" t="s">
        <v>11</v>
      </c>
      <c r="H353">
        <f>42922*(1.01^10)</f>
        <v>47412.590866899729</v>
      </c>
      <c r="I353">
        <f>227226*(1.01^10)</f>
        <v>250998.86706868641</v>
      </c>
      <c r="J353" t="s">
        <v>1493</v>
      </c>
      <c r="K353">
        <f t="shared" si="5"/>
        <v>430.84649055018809</v>
      </c>
    </row>
    <row r="354" spans="1:11" x14ac:dyDescent="0.2">
      <c r="A354" t="s">
        <v>1216</v>
      </c>
      <c r="B354" t="s">
        <v>1495</v>
      </c>
      <c r="C354" t="s">
        <v>1496</v>
      </c>
      <c r="D354" t="s">
        <v>1497</v>
      </c>
      <c r="E354" t="s">
        <v>1498</v>
      </c>
      <c r="F354" t="s">
        <v>131</v>
      </c>
      <c r="G354" t="s">
        <v>445</v>
      </c>
      <c r="H354">
        <f>172335*(1.01^10)</f>
        <v>190365.05398273998</v>
      </c>
      <c r="I354">
        <f>996344*(1.01^10)</f>
        <v>1100583.6269207015</v>
      </c>
      <c r="J354" t="s">
        <v>1499</v>
      </c>
      <c r="K354">
        <f t="shared" si="5"/>
        <v>1031.6366940273413</v>
      </c>
    </row>
    <row r="355" spans="1:11" x14ac:dyDescent="0.2">
      <c r="A355" t="s">
        <v>1216</v>
      </c>
      <c r="B355" t="s">
        <v>1495</v>
      </c>
      <c r="C355" t="s">
        <v>1501</v>
      </c>
      <c r="D355" t="s">
        <v>1502</v>
      </c>
      <c r="E355" t="s">
        <v>560</v>
      </c>
      <c r="F355" t="s">
        <v>44</v>
      </c>
      <c r="G355" t="s">
        <v>92</v>
      </c>
      <c r="H355">
        <f>125249*(1.01^10)</f>
        <v>138352.816585628</v>
      </c>
      <c r="I355">
        <f>657829*(1.01^10)</f>
        <v>726652.46813712746</v>
      </c>
      <c r="J355" t="s">
        <v>1503</v>
      </c>
      <c r="K355">
        <f t="shared" si="5"/>
        <v>804.87451516199144</v>
      </c>
    </row>
    <row r="356" spans="1:11" x14ac:dyDescent="0.2">
      <c r="A356" t="s">
        <v>1216</v>
      </c>
      <c r="B356" t="s">
        <v>1495</v>
      </c>
      <c r="C356" t="s">
        <v>1504</v>
      </c>
      <c r="D356" t="s">
        <v>1505</v>
      </c>
      <c r="E356" t="s">
        <v>386</v>
      </c>
      <c r="F356" t="s">
        <v>1506</v>
      </c>
      <c r="G356" t="s">
        <v>12</v>
      </c>
      <c r="H356">
        <f>40520*(1.01^10)</f>
        <v>44759.28852166202</v>
      </c>
      <c r="I356">
        <f>236249*(1.01^10)</f>
        <v>260965.8725062717</v>
      </c>
      <c r="J356" t="s">
        <v>1507</v>
      </c>
      <c r="K356">
        <f t="shared" si="5"/>
        <v>668.54795444928186</v>
      </c>
    </row>
    <row r="357" spans="1:11" x14ac:dyDescent="0.2">
      <c r="A357" t="s">
        <v>1509</v>
      </c>
      <c r="B357" t="s">
        <v>1510</v>
      </c>
      <c r="C357" t="s">
        <v>1511</v>
      </c>
      <c r="D357" t="s">
        <v>1512</v>
      </c>
      <c r="E357" t="s">
        <v>36</v>
      </c>
      <c r="F357" t="s">
        <v>5</v>
      </c>
      <c r="G357" t="s">
        <v>11</v>
      </c>
      <c r="H357">
        <f>34577*(1.01^10)</f>
        <v>38194.519230343227</v>
      </c>
      <c r="I357">
        <f>168073*(1.01^10)</f>
        <v>185657.15448423743</v>
      </c>
      <c r="J357" t="s">
        <v>1513</v>
      </c>
      <c r="K357">
        <f t="shared" si="5"/>
        <v>721.41552553174347</v>
      </c>
    </row>
    <row r="358" spans="1:11" x14ac:dyDescent="0.2">
      <c r="A358" t="s">
        <v>1509</v>
      </c>
      <c r="B358" t="s">
        <v>1510</v>
      </c>
      <c r="C358" t="s">
        <v>1514</v>
      </c>
      <c r="D358" t="s">
        <v>1515</v>
      </c>
      <c r="E358" t="s">
        <v>1328</v>
      </c>
      <c r="F358" t="s">
        <v>744</v>
      </c>
      <c r="G358" t="s">
        <v>92</v>
      </c>
      <c r="H358">
        <f>82530*(1.01^10)</f>
        <v>91164.464010186726</v>
      </c>
      <c r="I358">
        <f>393220*(1.01^10)</f>
        <v>434359.51215419394</v>
      </c>
      <c r="J358" t="s">
        <v>1516</v>
      </c>
      <c r="K358">
        <f t="shared" si="5"/>
        <v>678.00270040846283</v>
      </c>
    </row>
    <row r="359" spans="1:11" x14ac:dyDescent="0.2">
      <c r="A359" t="s">
        <v>1509</v>
      </c>
      <c r="B359" t="s">
        <v>1518</v>
      </c>
      <c r="C359" t="s">
        <v>1519</v>
      </c>
      <c r="D359" t="s">
        <v>1520</v>
      </c>
      <c r="E359" t="s">
        <v>806</v>
      </c>
      <c r="F359" t="s">
        <v>11</v>
      </c>
      <c r="G359" t="s">
        <v>11</v>
      </c>
      <c r="H359">
        <f>42818*(1.01^10)</f>
        <v>47297.710165856966</v>
      </c>
      <c r="I359">
        <f>228747*(1.01^10)</f>
        <v>252678.99732143685</v>
      </c>
      <c r="J359" t="s">
        <v>1521</v>
      </c>
      <c r="K359">
        <f t="shared" si="5"/>
        <v>525.25170513096782</v>
      </c>
    </row>
    <row r="360" spans="1:11" x14ac:dyDescent="0.2">
      <c r="A360" t="s">
        <v>1509</v>
      </c>
      <c r="B360" t="s">
        <v>1518</v>
      </c>
      <c r="C360" t="s">
        <v>1523</v>
      </c>
      <c r="D360" t="s">
        <v>1524</v>
      </c>
      <c r="E360" t="s">
        <v>1525</v>
      </c>
      <c r="F360" t="s">
        <v>92</v>
      </c>
      <c r="G360" t="s">
        <v>405</v>
      </c>
      <c r="H360">
        <f>136233*(1.01^10)</f>
        <v>150485.98601114465</v>
      </c>
      <c r="I360">
        <f>655564*(1.01^10)</f>
        <v>724150.49902307102</v>
      </c>
      <c r="J360" t="s">
        <v>1526</v>
      </c>
      <c r="K360">
        <f t="shared" si="5"/>
        <v>983.90013454221605</v>
      </c>
    </row>
    <row r="361" spans="1:11" x14ac:dyDescent="0.2">
      <c r="A361" t="s">
        <v>1509</v>
      </c>
      <c r="B361" t="s">
        <v>1518</v>
      </c>
      <c r="C361" t="s">
        <v>1528</v>
      </c>
      <c r="D361" t="s">
        <v>1529</v>
      </c>
      <c r="E361" t="s">
        <v>1049</v>
      </c>
      <c r="F361" t="s">
        <v>12</v>
      </c>
      <c r="G361" t="s">
        <v>17</v>
      </c>
      <c r="H361">
        <f>45283*(1.01^10)</f>
        <v>50020.603704995585</v>
      </c>
      <c r="I361">
        <f>244039*(1.01^10)</f>
        <v>269570.87886322499</v>
      </c>
      <c r="J361" t="s">
        <v>1098</v>
      </c>
      <c r="K361">
        <f t="shared" si="5"/>
        <v>755.10050101743695</v>
      </c>
    </row>
    <row r="362" spans="1:11" x14ac:dyDescent="0.2">
      <c r="A362" t="s">
        <v>1509</v>
      </c>
      <c r="B362" t="s">
        <v>1530</v>
      </c>
      <c r="C362" t="s">
        <v>1531</v>
      </c>
      <c r="D362" t="s">
        <v>1532</v>
      </c>
      <c r="E362" t="s">
        <v>1533</v>
      </c>
      <c r="F362" t="s">
        <v>382</v>
      </c>
      <c r="G362" t="s">
        <v>744</v>
      </c>
      <c r="H362">
        <f>169517*(1.01^10)</f>
        <v>187252.2288333312</v>
      </c>
      <c r="I362">
        <f>853533*(1.01^10)</f>
        <v>942831.43656860187</v>
      </c>
      <c r="J362" t="s">
        <v>1534</v>
      </c>
      <c r="K362">
        <f t="shared" si="5"/>
        <v>1121.9025311715441</v>
      </c>
    </row>
    <row r="363" spans="1:11" x14ac:dyDescent="0.2">
      <c r="A363" t="s">
        <v>1509</v>
      </c>
      <c r="B363" t="s">
        <v>1530</v>
      </c>
      <c r="C363" t="s">
        <v>1535</v>
      </c>
      <c r="D363" t="s">
        <v>1536</v>
      </c>
      <c r="E363" t="s">
        <v>123</v>
      </c>
      <c r="F363" t="s">
        <v>5</v>
      </c>
      <c r="G363" t="s">
        <v>17</v>
      </c>
      <c r="H363">
        <f>34412*(1.01^10)</f>
        <v>38012.256579650377</v>
      </c>
      <c r="I363">
        <f>186504*(1.01^10)</f>
        <v>206016.44487769133</v>
      </c>
      <c r="J363" t="s">
        <v>1537</v>
      </c>
      <c r="K363">
        <f t="shared" si="5"/>
        <v>453.67691016448498</v>
      </c>
    </row>
    <row r="364" spans="1:11" x14ac:dyDescent="0.2">
      <c r="A364" t="s">
        <v>1509</v>
      </c>
      <c r="B364" t="s">
        <v>1530</v>
      </c>
      <c r="C364" t="s">
        <v>1539</v>
      </c>
      <c r="D364" t="s">
        <v>1540</v>
      </c>
      <c r="E364" t="s">
        <v>703</v>
      </c>
      <c r="F364" t="s">
        <v>744</v>
      </c>
      <c r="G364" t="s">
        <v>12</v>
      </c>
      <c r="H364">
        <f>31494*(1.01^10)</f>
        <v>34788.969217700484</v>
      </c>
      <c r="I364">
        <f>174168*(1.01^10)</f>
        <v>192389.8263386187</v>
      </c>
      <c r="J364" t="s">
        <v>1541</v>
      </c>
      <c r="K364">
        <f t="shared" si="5"/>
        <v>406.30825698873201</v>
      </c>
    </row>
    <row r="365" spans="1:11" x14ac:dyDescent="0.2">
      <c r="A365" t="s">
        <v>1509</v>
      </c>
      <c r="B365" t="s">
        <v>1542</v>
      </c>
      <c r="C365" t="s">
        <v>1543</v>
      </c>
      <c r="D365" t="s">
        <v>1544</v>
      </c>
      <c r="E365" t="s">
        <v>1545</v>
      </c>
      <c r="F365" t="s">
        <v>24</v>
      </c>
      <c r="G365" t="s">
        <v>12</v>
      </c>
      <c r="H365">
        <f>26007*(1.01^10)</f>
        <v>28727.907615569202</v>
      </c>
      <c r="I365">
        <f>130176*(1.01^10)</f>
        <v>143795.289797529</v>
      </c>
      <c r="J365" t="s">
        <v>1546</v>
      </c>
      <c r="K365">
        <f t="shared" si="5"/>
        <v>792.58677502851026</v>
      </c>
    </row>
    <row r="366" spans="1:11" x14ac:dyDescent="0.2">
      <c r="A366" t="s">
        <v>1509</v>
      </c>
      <c r="B366" t="s">
        <v>1542</v>
      </c>
      <c r="C366" t="s">
        <v>1547</v>
      </c>
      <c r="D366" t="s">
        <v>1548</v>
      </c>
      <c r="E366" t="s">
        <v>1549</v>
      </c>
      <c r="F366" t="s">
        <v>5</v>
      </c>
      <c r="G366" t="s">
        <v>17</v>
      </c>
      <c r="H366">
        <f>49651*(1.01^10)</f>
        <v>54845.593148791726</v>
      </c>
      <c r="I366">
        <f>255307*(1.01^10)</f>
        <v>282017.76097235846</v>
      </c>
      <c r="J366" t="s">
        <v>1550</v>
      </c>
      <c r="K366">
        <f t="shared" si="5"/>
        <v>515.02313566680232</v>
      </c>
    </row>
    <row r="367" spans="1:11" x14ac:dyDescent="0.2">
      <c r="A367" t="s">
        <v>1509</v>
      </c>
      <c r="B367" t="s">
        <v>1542</v>
      </c>
      <c r="C367" t="s">
        <v>1551</v>
      </c>
      <c r="D367" t="s">
        <v>1552</v>
      </c>
      <c r="E367" t="s">
        <v>621</v>
      </c>
      <c r="F367" t="s">
        <v>5</v>
      </c>
      <c r="G367" t="s">
        <v>17</v>
      </c>
      <c r="H367">
        <f>112485*(1.01^10)</f>
        <v>124253.41977687937</v>
      </c>
      <c r="I367">
        <f>579172*(1.01^10)</f>
        <v>639766.20561865822</v>
      </c>
      <c r="J367" t="s">
        <v>1553</v>
      </c>
      <c r="K367">
        <f t="shared" si="5"/>
        <v>798.71017817049903</v>
      </c>
    </row>
    <row r="368" spans="1:11" x14ac:dyDescent="0.2">
      <c r="A368" t="s">
        <v>1509</v>
      </c>
      <c r="B368" t="s">
        <v>1554</v>
      </c>
      <c r="C368" t="s">
        <v>1555</v>
      </c>
      <c r="D368" t="s">
        <v>1556</v>
      </c>
      <c r="E368" t="s">
        <v>324</v>
      </c>
      <c r="F368" t="s">
        <v>17</v>
      </c>
      <c r="G368" t="s">
        <v>12</v>
      </c>
      <c r="H368">
        <f>36892*(1.01^10)</f>
        <v>40751.719450670163</v>
      </c>
      <c r="I368">
        <f>195251*(1.01^10)</f>
        <v>215678.57460866313</v>
      </c>
      <c r="J368" t="s">
        <v>1557</v>
      </c>
      <c r="K368">
        <f t="shared" si="5"/>
        <v>390.01288620908457</v>
      </c>
    </row>
    <row r="369" spans="1:11" x14ac:dyDescent="0.2">
      <c r="A369" t="s">
        <v>1509</v>
      </c>
      <c r="B369" t="s">
        <v>1554</v>
      </c>
      <c r="C369" t="s">
        <v>1558</v>
      </c>
      <c r="D369" t="s">
        <v>1559</v>
      </c>
      <c r="E369" t="s">
        <v>555</v>
      </c>
      <c r="F369" t="s">
        <v>24</v>
      </c>
      <c r="G369" t="s">
        <v>17</v>
      </c>
      <c r="H369">
        <f>121798*(1.01^10)</f>
        <v>134540.76563083392</v>
      </c>
      <c r="I369">
        <f>641973*(1.01^10)</f>
        <v>709137.57971660735</v>
      </c>
      <c r="J369" t="s">
        <v>1560</v>
      </c>
      <c r="K369">
        <f t="shared" si="5"/>
        <v>553.97027298327987</v>
      </c>
    </row>
    <row r="370" spans="1:11" x14ac:dyDescent="0.2">
      <c r="A370" t="s">
        <v>1509</v>
      </c>
      <c r="B370" t="s">
        <v>1554</v>
      </c>
      <c r="C370" t="s">
        <v>1562</v>
      </c>
      <c r="D370" t="s">
        <v>1563</v>
      </c>
      <c r="E370" t="s">
        <v>126</v>
      </c>
      <c r="F370" t="s">
        <v>24</v>
      </c>
      <c r="G370" t="s">
        <v>12</v>
      </c>
      <c r="H370">
        <f>45584*(1.01^10)</f>
        <v>50353.094964744356</v>
      </c>
      <c r="I370">
        <f>237080*(1.01^10)</f>
        <v>261883.81349248841</v>
      </c>
      <c r="J370" t="s">
        <v>1564</v>
      </c>
      <c r="K370">
        <f t="shared" si="5"/>
        <v>541.20098829233393</v>
      </c>
    </row>
    <row r="371" spans="1:11" x14ac:dyDescent="0.2">
      <c r="A371" t="s">
        <v>1509</v>
      </c>
      <c r="B371" t="s">
        <v>1566</v>
      </c>
      <c r="C371" t="s">
        <v>1567</v>
      </c>
      <c r="D371" t="s">
        <v>1568</v>
      </c>
      <c r="E371" t="s">
        <v>1054</v>
      </c>
      <c r="F371" t="s">
        <v>24</v>
      </c>
      <c r="G371" t="s">
        <v>17</v>
      </c>
      <c r="H371">
        <f>40450*(1.01^10)</f>
        <v>44681.96497288323</v>
      </c>
      <c r="I371">
        <f>207101*(1.01^10)</f>
        <v>228768.3467947859</v>
      </c>
      <c r="J371" t="s">
        <v>1569</v>
      </c>
      <c r="K371">
        <f t="shared" si="5"/>
        <v>578.19616094912953</v>
      </c>
    </row>
    <row r="372" spans="1:11" x14ac:dyDescent="0.2">
      <c r="A372" t="s">
        <v>1509</v>
      </c>
      <c r="B372" t="s">
        <v>1566</v>
      </c>
      <c r="C372" t="s">
        <v>1570</v>
      </c>
      <c r="D372" t="s">
        <v>1571</v>
      </c>
      <c r="E372" t="s">
        <v>1549</v>
      </c>
      <c r="F372" t="s">
        <v>17</v>
      </c>
      <c r="G372" t="s">
        <v>12</v>
      </c>
      <c r="H372">
        <f>30522*(1.01^10)</f>
        <v>33715.276511800788</v>
      </c>
      <c r="I372">
        <f>162593*(1.01^10)</f>
        <v>179603.825236984</v>
      </c>
      <c r="J372" t="s">
        <v>1572</v>
      </c>
      <c r="K372">
        <f t="shared" si="5"/>
        <v>496.27479996866674</v>
      </c>
    </row>
    <row r="373" spans="1:11" x14ac:dyDescent="0.2">
      <c r="A373" t="s">
        <v>1509</v>
      </c>
      <c r="B373" t="s">
        <v>1566</v>
      </c>
      <c r="C373" t="s">
        <v>1574</v>
      </c>
      <c r="D373" t="s">
        <v>1575</v>
      </c>
      <c r="E373" t="s">
        <v>1576</v>
      </c>
      <c r="F373" t="s">
        <v>108</v>
      </c>
      <c r="G373" t="s">
        <v>11</v>
      </c>
      <c r="H373">
        <f>142301*(1.01^10)</f>
        <v>157188.83306813985</v>
      </c>
      <c r="I373">
        <f>714328*(1.01^10)</f>
        <v>789062.51360073511</v>
      </c>
      <c r="J373" t="s">
        <v>1577</v>
      </c>
      <c r="K373">
        <f t="shared" si="5"/>
        <v>950.23168891147236</v>
      </c>
    </row>
    <row r="374" spans="1:11" x14ac:dyDescent="0.2">
      <c r="A374" t="s">
        <v>1509</v>
      </c>
      <c r="B374" t="s">
        <v>1566</v>
      </c>
      <c r="C374" t="s">
        <v>1578</v>
      </c>
      <c r="D374" t="s">
        <v>1579</v>
      </c>
      <c r="E374" t="s">
        <v>1580</v>
      </c>
      <c r="F374" t="s">
        <v>24</v>
      </c>
      <c r="G374" t="s">
        <v>12</v>
      </c>
      <c r="H374">
        <f>43630*(1.01^10)</f>
        <v>48194.663331690863</v>
      </c>
      <c r="I374">
        <f>233204*(1.01^10)</f>
        <v>257602.2981343946</v>
      </c>
      <c r="J374" t="s">
        <v>1581</v>
      </c>
      <c r="K374">
        <f t="shared" si="5"/>
        <v>528.31929590140282</v>
      </c>
    </row>
    <row r="375" spans="1:11" x14ac:dyDescent="0.2">
      <c r="A375" t="s">
        <v>1509</v>
      </c>
      <c r="B375" t="s">
        <v>1566</v>
      </c>
      <c r="C375" t="s">
        <v>1582</v>
      </c>
      <c r="D375" t="s">
        <v>1583</v>
      </c>
      <c r="E375" t="s">
        <v>91</v>
      </c>
      <c r="F375" t="s">
        <v>5</v>
      </c>
      <c r="G375" t="s">
        <v>12</v>
      </c>
      <c r="H375">
        <f>35181*(1.01^10)</f>
        <v>38861.710994091591</v>
      </c>
      <c r="I375">
        <f>188098*(1.01^10)</f>
        <v>207777.21254559679</v>
      </c>
      <c r="J375" t="s">
        <v>1584</v>
      </c>
      <c r="K375">
        <f t="shared" si="5"/>
        <v>467.48588770891263</v>
      </c>
    </row>
    <row r="376" spans="1:11" x14ac:dyDescent="0.2">
      <c r="A376" t="s">
        <v>1509</v>
      </c>
      <c r="B376" t="s">
        <v>1586</v>
      </c>
      <c r="C376" t="s">
        <v>1587</v>
      </c>
      <c r="D376" t="s">
        <v>1588</v>
      </c>
      <c r="E376" t="s">
        <v>1589</v>
      </c>
      <c r="F376" t="s">
        <v>12</v>
      </c>
      <c r="G376" t="s">
        <v>108</v>
      </c>
      <c r="H376">
        <f>158921*(1.01^10)</f>
        <v>175547.65279247408</v>
      </c>
      <c r="I376">
        <f>791634*(1.01^10)</f>
        <v>874456.43162777368</v>
      </c>
      <c r="J376" t="s">
        <v>1590</v>
      </c>
      <c r="K376">
        <f t="shared" si="5"/>
        <v>1630.5062866659589</v>
      </c>
    </row>
    <row r="377" spans="1:11" x14ac:dyDescent="0.2">
      <c r="A377" t="s">
        <v>1509</v>
      </c>
      <c r="B377" t="s">
        <v>1586</v>
      </c>
      <c r="C377" t="s">
        <v>1591</v>
      </c>
      <c r="D377" t="s">
        <v>1592</v>
      </c>
      <c r="E377" t="s">
        <v>313</v>
      </c>
      <c r="F377" t="s">
        <v>12</v>
      </c>
      <c r="G377" t="s">
        <v>24</v>
      </c>
      <c r="H377">
        <f>20110*(1.01^10)</f>
        <v>22213.950942019328</v>
      </c>
      <c r="I377">
        <f>108196*(1.01^10)</f>
        <v>119515.6954809907</v>
      </c>
      <c r="J377" t="s">
        <v>1593</v>
      </c>
      <c r="K377">
        <f t="shared" si="5"/>
        <v>426.75010323799171</v>
      </c>
    </row>
    <row r="378" spans="1:11" x14ac:dyDescent="0.2">
      <c r="A378" t="s">
        <v>1509</v>
      </c>
      <c r="B378" t="s">
        <v>1586</v>
      </c>
      <c r="C378" t="s">
        <v>1595</v>
      </c>
      <c r="D378" t="s">
        <v>1596</v>
      </c>
      <c r="E378" t="s">
        <v>542</v>
      </c>
      <c r="F378" t="s">
        <v>152</v>
      </c>
      <c r="G378" t="s">
        <v>12</v>
      </c>
      <c r="H378">
        <f>56609*(1.01^10)</f>
        <v>62531.55389740289</v>
      </c>
      <c r="I378">
        <f>305607*(1.01^10)</f>
        <v>337580.25388054206</v>
      </c>
      <c r="J378" t="s">
        <v>1597</v>
      </c>
      <c r="K378">
        <f t="shared" si="5"/>
        <v>747.47743948126413</v>
      </c>
    </row>
    <row r="379" spans="1:11" x14ac:dyDescent="0.2">
      <c r="A379" t="s">
        <v>1509</v>
      </c>
      <c r="B379" t="s">
        <v>1598</v>
      </c>
      <c r="C379" t="s">
        <v>1599</v>
      </c>
      <c r="D379" t="s">
        <v>1600</v>
      </c>
      <c r="E379" t="s">
        <v>1195</v>
      </c>
      <c r="F379" t="s">
        <v>17</v>
      </c>
      <c r="G379" t="s">
        <v>12</v>
      </c>
      <c r="H379">
        <f>69722*(1.01^10)</f>
        <v>77016.463827920015</v>
      </c>
      <c r="I379">
        <f>372034*(1.01^10)</f>
        <v>410956.98780523217</v>
      </c>
      <c r="J379" t="s">
        <v>1601</v>
      </c>
      <c r="K379">
        <f t="shared" si="5"/>
        <v>492.81616867810698</v>
      </c>
    </row>
    <row r="380" spans="1:11" x14ac:dyDescent="0.2">
      <c r="A380" t="s">
        <v>1509</v>
      </c>
      <c r="B380" t="s">
        <v>1598</v>
      </c>
      <c r="C380" t="s">
        <v>1602</v>
      </c>
      <c r="D380" t="s">
        <v>1603</v>
      </c>
      <c r="E380" t="s">
        <v>51</v>
      </c>
      <c r="F380" t="s">
        <v>11</v>
      </c>
      <c r="G380" t="s">
        <v>12</v>
      </c>
      <c r="H380">
        <f>39138*(1.01^10)</f>
        <v>43232.700744343732</v>
      </c>
      <c r="I380">
        <f>206889*(1.01^10)</f>
        <v>228534.16690419873</v>
      </c>
      <c r="J380" t="s">
        <v>1604</v>
      </c>
      <c r="K380">
        <f t="shared" si="5"/>
        <v>757.2583539026474</v>
      </c>
    </row>
    <row r="381" spans="1:11" x14ac:dyDescent="0.2">
      <c r="A381" t="s">
        <v>1509</v>
      </c>
      <c r="B381" t="s">
        <v>1598</v>
      </c>
      <c r="C381" t="s">
        <v>1606</v>
      </c>
      <c r="D381" t="s">
        <v>1607</v>
      </c>
      <c r="E381" t="s">
        <v>1049</v>
      </c>
      <c r="F381" t="s">
        <v>158</v>
      </c>
      <c r="G381" t="s">
        <v>92</v>
      </c>
      <c r="H381">
        <f>138173*(1.01^10)</f>
        <v>152628.95293444238</v>
      </c>
      <c r="I381">
        <f>710183*(1.01^10)</f>
        <v>784483.85489090567</v>
      </c>
      <c r="J381" t="s">
        <v>1608</v>
      </c>
      <c r="K381">
        <f t="shared" si="5"/>
        <v>1107.4626631154242</v>
      </c>
    </row>
    <row r="382" spans="1:11" x14ac:dyDescent="0.2">
      <c r="A382" t="s">
        <v>1509</v>
      </c>
      <c r="B382" t="s">
        <v>1598</v>
      </c>
      <c r="C382" t="s">
        <v>1610</v>
      </c>
      <c r="D382" t="s">
        <v>1611</v>
      </c>
      <c r="E382" t="s">
        <v>131</v>
      </c>
      <c r="F382" t="s">
        <v>17</v>
      </c>
      <c r="G382" t="s">
        <v>12</v>
      </c>
      <c r="H382">
        <f>30693*(1.01^10)</f>
        <v>33904.166895246104</v>
      </c>
      <c r="I382">
        <f>160895*(1.01^10)</f>
        <v>177728.17686803578</v>
      </c>
      <c r="J382" t="s">
        <v>1612</v>
      </c>
      <c r="K382">
        <f t="shared" si="5"/>
        <v>639.39794320348904</v>
      </c>
    </row>
    <row r="383" spans="1:11" x14ac:dyDescent="0.2">
      <c r="A383" t="s">
        <v>1509</v>
      </c>
      <c r="B383" t="s">
        <v>1614</v>
      </c>
      <c r="C383" t="s">
        <v>1615</v>
      </c>
      <c r="D383" t="s">
        <v>1616</v>
      </c>
      <c r="E383" t="s">
        <v>1617</v>
      </c>
      <c r="F383" t="s">
        <v>12</v>
      </c>
      <c r="G383" t="s">
        <v>17</v>
      </c>
      <c r="H383">
        <f>89186*(1.01^10)</f>
        <v>98516.828876923712</v>
      </c>
      <c r="I383">
        <f>484321*(1.01^10)</f>
        <v>534991.69240128004</v>
      </c>
      <c r="J383" t="s">
        <v>1618</v>
      </c>
      <c r="K383">
        <f t="shared" si="5"/>
        <v>472.52653432724998</v>
      </c>
    </row>
    <row r="384" spans="1:11" x14ac:dyDescent="0.2">
      <c r="A384" t="s">
        <v>1509</v>
      </c>
      <c r="B384" t="s">
        <v>1614</v>
      </c>
      <c r="C384" t="s">
        <v>1619</v>
      </c>
      <c r="D384" t="s">
        <v>1620</v>
      </c>
      <c r="E384" t="s">
        <v>32</v>
      </c>
      <c r="F384" t="s">
        <v>17</v>
      </c>
      <c r="G384" t="s">
        <v>12</v>
      </c>
      <c r="H384">
        <f>90518*(1.01^10)</f>
        <v>99988.185547971429</v>
      </c>
      <c r="I384">
        <f>476794*(1.01^10)</f>
        <v>526677.20166330994</v>
      </c>
      <c r="J384" t="s">
        <v>1621</v>
      </c>
      <c r="K384">
        <f t="shared" si="5"/>
        <v>644.37001979038564</v>
      </c>
    </row>
    <row r="385" spans="1:11" x14ac:dyDescent="0.2">
      <c r="A385" t="s">
        <v>1509</v>
      </c>
      <c r="B385" t="s">
        <v>1614</v>
      </c>
      <c r="C385" t="s">
        <v>1623</v>
      </c>
      <c r="D385" t="s">
        <v>1624</v>
      </c>
      <c r="E385" t="s">
        <v>220</v>
      </c>
      <c r="F385" t="s">
        <v>12</v>
      </c>
      <c r="G385" t="s">
        <v>12</v>
      </c>
      <c r="H385">
        <f>22434*(1.01^10)</f>
        <v>24781.092761474967</v>
      </c>
      <c r="I385">
        <f>119408*(1.01^10)</f>
        <v>131900.71875110114</v>
      </c>
      <c r="J385" t="s">
        <v>1625</v>
      </c>
      <c r="K385">
        <f t="shared" si="5"/>
        <v>501.27863020264692</v>
      </c>
    </row>
    <row r="386" spans="1:11" x14ac:dyDescent="0.2">
      <c r="A386" t="s">
        <v>1509</v>
      </c>
      <c r="B386" t="s">
        <v>1614</v>
      </c>
      <c r="C386" t="s">
        <v>1626</v>
      </c>
      <c r="D386" t="s">
        <v>1627</v>
      </c>
      <c r="E386" t="s">
        <v>535</v>
      </c>
      <c r="F386" t="s">
        <v>24</v>
      </c>
      <c r="G386" t="s">
        <v>17</v>
      </c>
      <c r="H386">
        <f>47598*(1.01^10)</f>
        <v>52577.803925322522</v>
      </c>
      <c r="I386">
        <f>253629*(1.01^10)</f>
        <v>280164.20504591847</v>
      </c>
      <c r="J386" t="s">
        <v>1628</v>
      </c>
      <c r="K386">
        <f t="shared" si="5"/>
        <v>572.54929237355623</v>
      </c>
    </row>
    <row r="387" spans="1:11" x14ac:dyDescent="0.2">
      <c r="A387" t="s">
        <v>1509</v>
      </c>
      <c r="B387" t="s">
        <v>1630</v>
      </c>
      <c r="C387" t="s">
        <v>1631</v>
      </c>
      <c r="D387" t="s">
        <v>1632</v>
      </c>
      <c r="E387" t="s">
        <v>232</v>
      </c>
      <c r="F387" t="s">
        <v>24</v>
      </c>
      <c r="G387" t="s">
        <v>12</v>
      </c>
      <c r="H387">
        <f>34715*(1.01^10)</f>
        <v>38346.95708364997</v>
      </c>
      <c r="I387">
        <f>179550*(1.01^10)</f>
        <v>198334.9026175818</v>
      </c>
      <c r="J387" t="s">
        <v>1633</v>
      </c>
      <c r="K387">
        <f t="shared" ref="K387:K450" si="6">I387/J387</f>
        <v>386.95670114871103</v>
      </c>
    </row>
    <row r="388" spans="1:11" x14ac:dyDescent="0.2">
      <c r="A388" t="s">
        <v>1509</v>
      </c>
      <c r="B388" t="s">
        <v>1630</v>
      </c>
      <c r="C388" t="s">
        <v>1634</v>
      </c>
      <c r="D388" t="s">
        <v>1635</v>
      </c>
      <c r="E388" t="s">
        <v>498</v>
      </c>
      <c r="F388" t="s">
        <v>24</v>
      </c>
      <c r="G388" t="s">
        <v>17</v>
      </c>
      <c r="H388">
        <f>50085*(1.01^10)</f>
        <v>55324.999151220189</v>
      </c>
      <c r="I388">
        <f>263764*(1.01^10)</f>
        <v>291359.55028696102</v>
      </c>
      <c r="J388" t="s">
        <v>1636</v>
      </c>
      <c r="K388">
        <f t="shared" si="6"/>
        <v>482.43708048460644</v>
      </c>
    </row>
    <row r="389" spans="1:11" x14ac:dyDescent="0.2">
      <c r="A389" t="s">
        <v>1509</v>
      </c>
      <c r="B389" t="s">
        <v>1630</v>
      </c>
      <c r="C389" t="s">
        <v>1638</v>
      </c>
      <c r="D389" t="s">
        <v>1639</v>
      </c>
      <c r="E389" t="s">
        <v>36</v>
      </c>
      <c r="F389" t="s">
        <v>24</v>
      </c>
      <c r="G389" t="s">
        <v>12</v>
      </c>
      <c r="H389">
        <f>95837*(1.01^10)</f>
        <v>105863.67063303363</v>
      </c>
      <c r="I389">
        <f>498697*(1.01^10)</f>
        <v>550871.74007619161</v>
      </c>
      <c r="J389" t="s">
        <v>1640</v>
      </c>
      <c r="K389">
        <f t="shared" si="6"/>
        <v>387.52266850814209</v>
      </c>
    </row>
    <row r="390" spans="1:11" x14ac:dyDescent="0.2">
      <c r="A390" t="s">
        <v>1509</v>
      </c>
      <c r="B390" t="s">
        <v>1642</v>
      </c>
      <c r="C390" t="s">
        <v>1643</v>
      </c>
      <c r="D390" t="s">
        <v>1644</v>
      </c>
      <c r="E390" t="s">
        <v>535</v>
      </c>
      <c r="F390" t="s">
        <v>12</v>
      </c>
      <c r="G390" t="s">
        <v>12</v>
      </c>
      <c r="H390">
        <f>51652*(1.01^10)</f>
        <v>57055.942021739545</v>
      </c>
      <c r="I390">
        <f>269929*(1.01^10)</f>
        <v>298169.54569012107</v>
      </c>
      <c r="J390" t="s">
        <v>1645</v>
      </c>
      <c r="K390">
        <f t="shared" si="6"/>
        <v>271.11486895121413</v>
      </c>
    </row>
    <row r="391" spans="1:11" x14ac:dyDescent="0.2">
      <c r="A391" t="s">
        <v>1509</v>
      </c>
      <c r="B391" t="s">
        <v>1642</v>
      </c>
      <c r="C391" t="s">
        <v>1647</v>
      </c>
      <c r="D391" t="s">
        <v>1648</v>
      </c>
      <c r="E391" t="s">
        <v>385</v>
      </c>
      <c r="F391" t="s">
        <v>17</v>
      </c>
      <c r="G391" t="s">
        <v>17</v>
      </c>
      <c r="H391">
        <f>137491*(1.01^10)</f>
        <v>151875.60064491196</v>
      </c>
      <c r="I391">
        <f>717330*(1.01^10)</f>
        <v>792378.58922121953</v>
      </c>
      <c r="J391" t="s">
        <v>1649</v>
      </c>
      <c r="K391">
        <f t="shared" si="6"/>
        <v>382.90305372419374</v>
      </c>
    </row>
    <row r="392" spans="1:11" x14ac:dyDescent="0.2">
      <c r="A392" t="s">
        <v>1509</v>
      </c>
      <c r="B392" t="s">
        <v>1642</v>
      </c>
      <c r="C392" t="s">
        <v>1651</v>
      </c>
      <c r="D392" t="s">
        <v>1652</v>
      </c>
      <c r="E392" t="s">
        <v>333</v>
      </c>
      <c r="F392" t="s">
        <v>24</v>
      </c>
      <c r="G392" t="s">
        <v>12</v>
      </c>
      <c r="H392">
        <f>33070*(1.01^10)</f>
        <v>36529.853687348543</v>
      </c>
      <c r="I392">
        <f>175664*(1.01^10)</f>
        <v>194042.34103823386</v>
      </c>
      <c r="J392" t="s">
        <v>1653</v>
      </c>
      <c r="K392">
        <f t="shared" si="6"/>
        <v>305.83846377510883</v>
      </c>
    </row>
    <row r="393" spans="1:11" x14ac:dyDescent="0.2">
      <c r="A393" t="s">
        <v>1509</v>
      </c>
      <c r="B393" t="s">
        <v>1642</v>
      </c>
      <c r="C393" t="s">
        <v>1654</v>
      </c>
      <c r="D393" t="s">
        <v>1655</v>
      </c>
      <c r="E393" t="s">
        <v>1656</v>
      </c>
      <c r="F393" t="s">
        <v>24</v>
      </c>
      <c r="G393" t="s">
        <v>12</v>
      </c>
      <c r="H393">
        <f>24358*(1.01^10)</f>
        <v>26906.385730766124</v>
      </c>
      <c r="I393">
        <f>132266*(1.01^10)</f>
        <v>146103.95003963841</v>
      </c>
      <c r="J393" t="s">
        <v>1657</v>
      </c>
      <c r="K393">
        <f t="shared" si="6"/>
        <v>308.65346995941235</v>
      </c>
    </row>
    <row r="394" spans="1:11" x14ac:dyDescent="0.2">
      <c r="A394" t="s">
        <v>1509</v>
      </c>
      <c r="B394" t="s">
        <v>1659</v>
      </c>
      <c r="C394" t="s">
        <v>1660</v>
      </c>
      <c r="D394" t="s">
        <v>1661</v>
      </c>
      <c r="E394" t="s">
        <v>56</v>
      </c>
      <c r="F394" t="s">
        <v>24</v>
      </c>
      <c r="G394" t="s">
        <v>12</v>
      </c>
      <c r="H394">
        <f>28583*(1.01^10)</f>
        <v>31573.414210628463</v>
      </c>
      <c r="I394">
        <f>146952*(1.01^10)</f>
        <v>162326.43057342735</v>
      </c>
      <c r="J394" t="s">
        <v>1662</v>
      </c>
      <c r="K394">
        <f t="shared" si="6"/>
        <v>352.88354472484207</v>
      </c>
    </row>
    <row r="395" spans="1:11" x14ac:dyDescent="0.2">
      <c r="A395" t="s">
        <v>1509</v>
      </c>
      <c r="B395" t="s">
        <v>1659</v>
      </c>
      <c r="C395" t="s">
        <v>1663</v>
      </c>
      <c r="D395" t="s">
        <v>1664</v>
      </c>
      <c r="E395" t="s">
        <v>1446</v>
      </c>
      <c r="F395" t="s">
        <v>24</v>
      </c>
      <c r="G395" t="s">
        <v>152</v>
      </c>
      <c r="H395">
        <f>206851*(1.01^10)</f>
        <v>228492.19126343311</v>
      </c>
      <c r="I395">
        <f>1069309*(1.01^10)</f>
        <v>1181182.38030133</v>
      </c>
      <c r="J395" t="s">
        <v>1665</v>
      </c>
      <c r="K395">
        <f t="shared" si="6"/>
        <v>528.72980317875113</v>
      </c>
    </row>
    <row r="396" spans="1:11" x14ac:dyDescent="0.2">
      <c r="A396" t="s">
        <v>1509</v>
      </c>
      <c r="B396" t="s">
        <v>1659</v>
      </c>
      <c r="C396" t="s">
        <v>1667</v>
      </c>
      <c r="D396" t="s">
        <v>1668</v>
      </c>
      <c r="E396" t="s">
        <v>1656</v>
      </c>
      <c r="F396" t="s">
        <v>12</v>
      </c>
      <c r="G396" t="s">
        <v>12</v>
      </c>
      <c r="H396">
        <f>26375*(1.01^10)</f>
        <v>29134.408557720526</v>
      </c>
      <c r="I396">
        <f>140880*(1.01^10)</f>
        <v>155619.16502793052</v>
      </c>
      <c r="J396" t="s">
        <v>1669</v>
      </c>
      <c r="K396">
        <f t="shared" si="6"/>
        <v>352.93603611118618</v>
      </c>
    </row>
    <row r="397" spans="1:11" x14ac:dyDescent="0.2">
      <c r="A397" t="s">
        <v>1509</v>
      </c>
      <c r="B397" t="s">
        <v>1659</v>
      </c>
      <c r="C397" t="s">
        <v>1670</v>
      </c>
      <c r="D397" t="s">
        <v>1671</v>
      </c>
      <c r="E397" t="s">
        <v>425</v>
      </c>
      <c r="F397" t="s">
        <v>24</v>
      </c>
      <c r="G397" t="s">
        <v>12</v>
      </c>
      <c r="H397">
        <f>73799*(1.01^10)</f>
        <v>81520.008233221495</v>
      </c>
      <c r="I397">
        <f>386790*(1.01^10)</f>
        <v>427256.79188779986</v>
      </c>
      <c r="J397" t="s">
        <v>1672</v>
      </c>
      <c r="K397">
        <f t="shared" si="6"/>
        <v>503.94972728726788</v>
      </c>
    </row>
    <row r="398" spans="1:11" x14ac:dyDescent="0.2">
      <c r="A398" t="s">
        <v>1509</v>
      </c>
      <c r="B398" t="s">
        <v>1673</v>
      </c>
      <c r="C398" t="s">
        <v>1674</v>
      </c>
      <c r="D398" t="s">
        <v>1675</v>
      </c>
      <c r="E398" t="s">
        <v>356</v>
      </c>
      <c r="F398" t="s">
        <v>24</v>
      </c>
      <c r="G398" t="s">
        <v>12</v>
      </c>
      <c r="H398">
        <f>24047*(1.01^10)</f>
        <v>26562.848249763239</v>
      </c>
      <c r="I398">
        <f>127035*(1.01^10)</f>
        <v>140325.67170161239</v>
      </c>
      <c r="J398" t="s">
        <v>942</v>
      </c>
      <c r="K398">
        <f t="shared" si="6"/>
        <v>257.47829670020622</v>
      </c>
    </row>
    <row r="399" spans="1:11" x14ac:dyDescent="0.2">
      <c r="A399" t="s">
        <v>1509</v>
      </c>
      <c r="B399" t="s">
        <v>1673</v>
      </c>
      <c r="C399" t="s">
        <v>1676</v>
      </c>
      <c r="D399" t="s">
        <v>1677</v>
      </c>
      <c r="E399" t="s">
        <v>253</v>
      </c>
      <c r="F399" t="s">
        <v>24</v>
      </c>
      <c r="G399" t="s">
        <v>12</v>
      </c>
      <c r="H399">
        <f>107432*(1.01^10)</f>
        <v>118671.76417717655</v>
      </c>
      <c r="I399">
        <f>553698*(1.01^10)</f>
        <v>611627.06159593328</v>
      </c>
      <c r="J399" t="s">
        <v>1678</v>
      </c>
      <c r="K399">
        <f t="shared" si="6"/>
        <v>637.11152249576378</v>
      </c>
    </row>
    <row r="400" spans="1:11" x14ac:dyDescent="0.2">
      <c r="A400" t="s">
        <v>1509</v>
      </c>
      <c r="B400" t="s">
        <v>1673</v>
      </c>
      <c r="C400" t="s">
        <v>1680</v>
      </c>
      <c r="D400" t="s">
        <v>1681</v>
      </c>
      <c r="E400" t="s">
        <v>51</v>
      </c>
      <c r="F400" t="s">
        <v>24</v>
      </c>
      <c r="G400" t="s">
        <v>12</v>
      </c>
      <c r="H400">
        <f>35813*(1.01^10)</f>
        <v>39559.832177351476</v>
      </c>
      <c r="I400">
        <f>191466*(1.01^10)</f>
        <v>211497.57986398172</v>
      </c>
      <c r="J400" t="s">
        <v>1682</v>
      </c>
      <c r="K400">
        <f t="shared" si="6"/>
        <v>319.96608148862589</v>
      </c>
    </row>
    <row r="401" spans="1:11" x14ac:dyDescent="0.2">
      <c r="A401" t="s">
        <v>1509</v>
      </c>
      <c r="B401" t="s">
        <v>1673</v>
      </c>
      <c r="C401" t="s">
        <v>1683</v>
      </c>
      <c r="D401" t="s">
        <v>1684</v>
      </c>
      <c r="E401" t="s">
        <v>97</v>
      </c>
      <c r="F401" t="s">
        <v>24</v>
      </c>
      <c r="G401" t="s">
        <v>12</v>
      </c>
      <c r="H401">
        <f>18739*(1.01^10)</f>
        <v>20699.514008080565</v>
      </c>
      <c r="I401">
        <f>100183*(1.01^10)</f>
        <v>110664.35839007073</v>
      </c>
      <c r="J401" t="s">
        <v>1685</v>
      </c>
      <c r="K401">
        <f t="shared" si="6"/>
        <v>226.96972179172701</v>
      </c>
    </row>
    <row r="402" spans="1:11" x14ac:dyDescent="0.2">
      <c r="A402" t="s">
        <v>1509</v>
      </c>
      <c r="B402" t="s">
        <v>1673</v>
      </c>
      <c r="C402" t="s">
        <v>1686</v>
      </c>
      <c r="D402" t="s">
        <v>1687</v>
      </c>
      <c r="E402" t="s">
        <v>394</v>
      </c>
      <c r="F402" t="s">
        <v>24</v>
      </c>
      <c r="G402" t="s">
        <v>12</v>
      </c>
      <c r="H402">
        <f>29470*(1.01^10)</f>
        <v>32553.214035868205</v>
      </c>
      <c r="I402">
        <f>159787*(1.01^10)</f>
        <v>176504.25555308018</v>
      </c>
      <c r="J402" t="s">
        <v>1688</v>
      </c>
      <c r="K402">
        <f t="shared" si="6"/>
        <v>252.62075812075329</v>
      </c>
    </row>
    <row r="403" spans="1:11" x14ac:dyDescent="0.2">
      <c r="A403" t="s">
        <v>1509</v>
      </c>
      <c r="B403" t="s">
        <v>1673</v>
      </c>
      <c r="C403" t="s">
        <v>1690</v>
      </c>
      <c r="D403" t="s">
        <v>1691</v>
      </c>
      <c r="E403" t="s">
        <v>315</v>
      </c>
      <c r="F403" t="s">
        <v>17</v>
      </c>
      <c r="G403" t="s">
        <v>12</v>
      </c>
      <c r="H403">
        <f>73472*(1.01^10)</f>
        <v>81158.796798212032</v>
      </c>
      <c r="I403">
        <f>384192*(1.01^10)</f>
        <v>424386.98360598157</v>
      </c>
      <c r="J403" t="s">
        <v>1692</v>
      </c>
      <c r="K403">
        <f t="shared" si="6"/>
        <v>433.58502633729745</v>
      </c>
    </row>
    <row r="404" spans="1:11" x14ac:dyDescent="0.2">
      <c r="A404" t="s">
        <v>1509</v>
      </c>
      <c r="B404" t="s">
        <v>1673</v>
      </c>
      <c r="C404" t="s">
        <v>1693</v>
      </c>
      <c r="D404" t="s">
        <v>1694</v>
      </c>
      <c r="E404" t="s">
        <v>1580</v>
      </c>
      <c r="F404" t="s">
        <v>24</v>
      </c>
      <c r="G404" t="s">
        <v>24</v>
      </c>
      <c r="H404">
        <f>22407*(1.01^10)</f>
        <v>24751.267964088864</v>
      </c>
      <c r="I404">
        <f>118084*(1.01^10)</f>
        <v>130438.1990570567</v>
      </c>
      <c r="J404" t="s">
        <v>1695</v>
      </c>
      <c r="K404">
        <f t="shared" si="6"/>
        <v>291.56049198434823</v>
      </c>
    </row>
    <row r="405" spans="1:11" x14ac:dyDescent="0.2">
      <c r="A405" t="s">
        <v>1509</v>
      </c>
      <c r="B405" t="s">
        <v>1697</v>
      </c>
      <c r="C405" t="s">
        <v>1698</v>
      </c>
      <c r="D405" t="s">
        <v>1699</v>
      </c>
      <c r="E405" t="s">
        <v>374</v>
      </c>
      <c r="F405" t="s">
        <v>24</v>
      </c>
      <c r="G405" t="s">
        <v>12</v>
      </c>
      <c r="H405">
        <f>38767*(1.01^10)</f>
        <v>42822.885935816172</v>
      </c>
      <c r="I405">
        <f>203050*(1.01^10)</f>
        <v>224293.52256474513</v>
      </c>
      <c r="J405" t="s">
        <v>1700</v>
      </c>
      <c r="K405">
        <f t="shared" si="6"/>
        <v>407.5682843195334</v>
      </c>
    </row>
    <row r="406" spans="1:11" x14ac:dyDescent="0.2">
      <c r="A406" t="s">
        <v>1509</v>
      </c>
      <c r="B406" t="s">
        <v>1697</v>
      </c>
      <c r="C406" t="s">
        <v>1702</v>
      </c>
      <c r="D406" t="s">
        <v>1703</v>
      </c>
      <c r="E406" t="s">
        <v>1101</v>
      </c>
      <c r="F406" t="s">
        <v>6</v>
      </c>
      <c r="G406" t="s">
        <v>11</v>
      </c>
      <c r="H406">
        <f>144512*(1.01^10)</f>
        <v>159631.15258742403</v>
      </c>
      <c r="I406">
        <f>734328*(1.01^10)</f>
        <v>811154.95610895916</v>
      </c>
      <c r="J406" t="s">
        <v>1704</v>
      </c>
      <c r="K406">
        <f t="shared" si="6"/>
        <v>865.48244109427344</v>
      </c>
    </row>
    <row r="407" spans="1:11" x14ac:dyDescent="0.2">
      <c r="A407" t="s">
        <v>1509</v>
      </c>
      <c r="B407" t="s">
        <v>1697</v>
      </c>
      <c r="C407" t="s">
        <v>1706</v>
      </c>
      <c r="D407" t="s">
        <v>1707</v>
      </c>
      <c r="E407" t="s">
        <v>796</v>
      </c>
      <c r="F407" t="s">
        <v>24</v>
      </c>
      <c r="G407" t="s">
        <v>12</v>
      </c>
      <c r="H407">
        <f>23709*(1.01^10)</f>
        <v>26189.485971374252</v>
      </c>
      <c r="I407">
        <f>123826*(1.01^10)</f>
        <v>136780.93930116785</v>
      </c>
      <c r="J407" t="s">
        <v>1708</v>
      </c>
      <c r="K407">
        <f t="shared" si="6"/>
        <v>531.28877579144273</v>
      </c>
    </row>
    <row r="408" spans="1:11" x14ac:dyDescent="0.2">
      <c r="A408" t="s">
        <v>1509</v>
      </c>
      <c r="B408" t="s">
        <v>1710</v>
      </c>
      <c r="C408" t="s">
        <v>1711</v>
      </c>
      <c r="D408" t="s">
        <v>1712</v>
      </c>
      <c r="E408" t="s">
        <v>142</v>
      </c>
      <c r="F408" t="s">
        <v>5</v>
      </c>
      <c r="G408" t="s">
        <v>12</v>
      </c>
      <c r="H408">
        <f>29974*(1.01^10)</f>
        <v>33109.943587075453</v>
      </c>
      <c r="I408">
        <f>155791*(1.01^10)</f>
        <v>172090.185539937</v>
      </c>
      <c r="J408" t="s">
        <v>1713</v>
      </c>
      <c r="K408">
        <f t="shared" si="6"/>
        <v>521.52842235141327</v>
      </c>
    </row>
    <row r="409" spans="1:11" x14ac:dyDescent="0.2">
      <c r="A409" t="s">
        <v>1509</v>
      </c>
      <c r="B409" t="s">
        <v>1710</v>
      </c>
      <c r="C409" t="s">
        <v>1714</v>
      </c>
      <c r="D409" t="s">
        <v>1715</v>
      </c>
      <c r="E409" t="s">
        <v>51</v>
      </c>
      <c r="F409" t="s">
        <v>5</v>
      </c>
      <c r="G409" t="s">
        <v>17</v>
      </c>
      <c r="H409">
        <f>79101*(1.01^10)</f>
        <v>87376.7147421517</v>
      </c>
      <c r="I409">
        <f>403746*(1.01^10)</f>
        <v>445986.76464627229</v>
      </c>
      <c r="J409" t="s">
        <v>1716</v>
      </c>
      <c r="K409">
        <f t="shared" si="6"/>
        <v>862.80334484179741</v>
      </c>
    </row>
    <row r="410" spans="1:11" x14ac:dyDescent="0.2">
      <c r="A410" t="s">
        <v>1509</v>
      </c>
      <c r="B410" t="s">
        <v>1710</v>
      </c>
      <c r="C410" t="s">
        <v>1718</v>
      </c>
      <c r="D410" t="s">
        <v>1719</v>
      </c>
      <c r="E410" t="s">
        <v>611</v>
      </c>
      <c r="F410" t="s">
        <v>5</v>
      </c>
      <c r="G410" t="s">
        <v>17</v>
      </c>
      <c r="H410">
        <f>48705*(1.01^10)</f>
        <v>53800.62061815273</v>
      </c>
      <c r="I410">
        <f>258595*(1.01^10)</f>
        <v>285649.75852071051</v>
      </c>
      <c r="J410" t="s">
        <v>1720</v>
      </c>
      <c r="K410">
        <f t="shared" si="6"/>
        <v>467.99836347732116</v>
      </c>
    </row>
    <row r="411" spans="1:11" x14ac:dyDescent="0.2">
      <c r="A411" t="s">
        <v>1509</v>
      </c>
      <c r="B411" t="s">
        <v>1710</v>
      </c>
      <c r="C411" t="s">
        <v>1722</v>
      </c>
      <c r="D411" t="s">
        <v>1723</v>
      </c>
      <c r="E411" t="s">
        <v>126</v>
      </c>
      <c r="F411" t="s">
        <v>12</v>
      </c>
      <c r="G411" t="s">
        <v>24</v>
      </c>
      <c r="H411">
        <f>27554*(1.01^10)</f>
        <v>30436.758043580336</v>
      </c>
      <c r="I411">
        <f>140273*(1.01^10)</f>
        <v>154948.65939780592</v>
      </c>
      <c r="J411" t="s">
        <v>1724</v>
      </c>
      <c r="K411">
        <f t="shared" si="6"/>
        <v>411.27158738361169</v>
      </c>
    </row>
    <row r="412" spans="1:11" x14ac:dyDescent="0.2">
      <c r="A412" t="s">
        <v>1509</v>
      </c>
      <c r="B412" t="s">
        <v>1725</v>
      </c>
      <c r="C412" t="s">
        <v>1726</v>
      </c>
      <c r="D412" t="s">
        <v>1727</v>
      </c>
      <c r="E412" t="s">
        <v>328</v>
      </c>
      <c r="F412" t="s">
        <v>24</v>
      </c>
      <c r="G412" t="s">
        <v>17</v>
      </c>
      <c r="H412">
        <f>77111*(1.01^10)</f>
        <v>85178.516712583412</v>
      </c>
      <c r="I412">
        <f>404381*(1.01^10)</f>
        <v>446688.19969590841</v>
      </c>
      <c r="J412" t="s">
        <v>1728</v>
      </c>
      <c r="K412">
        <f t="shared" si="6"/>
        <v>457.36075863301528</v>
      </c>
    </row>
    <row r="413" spans="1:11" x14ac:dyDescent="0.2">
      <c r="A413" t="s">
        <v>1509</v>
      </c>
      <c r="B413" t="s">
        <v>1725</v>
      </c>
      <c r="C413" t="s">
        <v>1729</v>
      </c>
      <c r="D413" t="s">
        <v>1730</v>
      </c>
      <c r="E413" t="s">
        <v>1258</v>
      </c>
      <c r="F413" t="s">
        <v>12</v>
      </c>
      <c r="G413" t="s">
        <v>11</v>
      </c>
      <c r="H413">
        <f>94601*(1.01^10)</f>
        <v>104498.35768602538</v>
      </c>
      <c r="I413">
        <f>517707*(1.01^10)</f>
        <v>571870.60668025853</v>
      </c>
      <c r="J413" t="s">
        <v>1731</v>
      </c>
      <c r="K413">
        <f t="shared" si="6"/>
        <v>620.02472470084433</v>
      </c>
    </row>
    <row r="414" spans="1:11" x14ac:dyDescent="0.2">
      <c r="A414" t="s">
        <v>1509</v>
      </c>
      <c r="B414" t="s">
        <v>1733</v>
      </c>
      <c r="C414" t="s">
        <v>1734</v>
      </c>
      <c r="D414" t="s">
        <v>1735</v>
      </c>
      <c r="E414" t="s">
        <v>126</v>
      </c>
      <c r="F414" t="s">
        <v>12</v>
      </c>
      <c r="G414" t="s">
        <v>12</v>
      </c>
      <c r="H414">
        <f>25537*(1.01^10)</f>
        <v>28208.735216625937</v>
      </c>
      <c r="I414">
        <f>127410*(1.01^10)</f>
        <v>140739.90499864161</v>
      </c>
      <c r="J414" t="s">
        <v>1736</v>
      </c>
      <c r="K414">
        <f t="shared" si="6"/>
        <v>416.77030368460044</v>
      </c>
    </row>
    <row r="415" spans="1:11" x14ac:dyDescent="0.2">
      <c r="A415" t="s">
        <v>1509</v>
      </c>
      <c r="B415" t="s">
        <v>1733</v>
      </c>
      <c r="C415" t="s">
        <v>1738</v>
      </c>
      <c r="D415" t="s">
        <v>1739</v>
      </c>
      <c r="E415" t="s">
        <v>358</v>
      </c>
      <c r="F415" t="s">
        <v>108</v>
      </c>
      <c r="G415" t="s">
        <v>6</v>
      </c>
      <c r="H415">
        <f>128987*(1.01^10)</f>
        <v>142481.89409041507</v>
      </c>
      <c r="I415">
        <f>642872*(1.01^10)</f>
        <v>710130.63500735199</v>
      </c>
      <c r="J415" t="s">
        <v>1740</v>
      </c>
      <c r="K415">
        <f t="shared" si="6"/>
        <v>711.19575158324369</v>
      </c>
    </row>
    <row r="416" spans="1:11" x14ac:dyDescent="0.2">
      <c r="A416" t="s">
        <v>1509</v>
      </c>
      <c r="B416" t="s">
        <v>1733</v>
      </c>
      <c r="C416" t="s">
        <v>1741</v>
      </c>
      <c r="D416" t="s">
        <v>1742</v>
      </c>
      <c r="E416" t="s">
        <v>1229</v>
      </c>
      <c r="F416" t="s">
        <v>17</v>
      </c>
      <c r="G416" t="s">
        <v>12</v>
      </c>
      <c r="H416">
        <f>23519*(1.01^10)</f>
        <v>25979.607767546124</v>
      </c>
      <c r="I416">
        <f>130050*(1.01^10)</f>
        <v>143656.10740972718</v>
      </c>
      <c r="J416" t="s">
        <v>1743</v>
      </c>
      <c r="K416">
        <f t="shared" si="6"/>
        <v>557.22905628504202</v>
      </c>
    </row>
    <row r="417" spans="1:11" x14ac:dyDescent="0.2">
      <c r="A417" t="s">
        <v>1509</v>
      </c>
      <c r="B417" t="s">
        <v>1745</v>
      </c>
      <c r="C417" t="s">
        <v>1746</v>
      </c>
      <c r="D417" t="s">
        <v>1747</v>
      </c>
      <c r="E417" t="s">
        <v>619</v>
      </c>
      <c r="F417" t="s">
        <v>6</v>
      </c>
      <c r="G417" t="s">
        <v>17</v>
      </c>
      <c r="H417">
        <f>22576*(1.01^10)</f>
        <v>24937.949103283358</v>
      </c>
      <c r="I417">
        <f>120012*(1.01^10)</f>
        <v>132567.9105148495</v>
      </c>
      <c r="J417" t="s">
        <v>1748</v>
      </c>
      <c r="K417">
        <f t="shared" si="6"/>
        <v>747.07693743828838</v>
      </c>
    </row>
    <row r="418" spans="1:11" x14ac:dyDescent="0.2">
      <c r="A418" t="s">
        <v>1509</v>
      </c>
      <c r="B418" t="s">
        <v>1745</v>
      </c>
      <c r="C418" t="s">
        <v>1749</v>
      </c>
      <c r="D418" t="s">
        <v>1750</v>
      </c>
      <c r="E418" t="s">
        <v>103</v>
      </c>
      <c r="F418" t="s">
        <v>12</v>
      </c>
      <c r="G418" t="s">
        <v>11</v>
      </c>
      <c r="H418">
        <f>225460*(1.01^10)</f>
        <v>249048.10439521022</v>
      </c>
      <c r="I418">
        <f>977337*(1.01^10)</f>
        <v>1079588.0741830107</v>
      </c>
      <c r="J418" t="s">
        <v>1751</v>
      </c>
      <c r="K418">
        <f t="shared" si="6"/>
        <v>3239.9089165051823</v>
      </c>
    </row>
    <row r="419" spans="1:11" x14ac:dyDescent="0.2">
      <c r="A419" t="s">
        <v>1509</v>
      </c>
      <c r="B419" t="s">
        <v>1745</v>
      </c>
      <c r="C419" t="s">
        <v>1752</v>
      </c>
      <c r="D419" t="s">
        <v>1753</v>
      </c>
      <c r="E419" t="s">
        <v>23</v>
      </c>
      <c r="F419" t="s">
        <v>17</v>
      </c>
      <c r="G419" t="s">
        <v>12</v>
      </c>
      <c r="H419">
        <f>25207*(1.01^10)</f>
        <v>27844.209915240237</v>
      </c>
      <c r="I419">
        <f>134848*(1.01^10)</f>
        <v>148956.08436745015</v>
      </c>
      <c r="J419" t="s">
        <v>1754</v>
      </c>
      <c r="K419">
        <f t="shared" si="6"/>
        <v>542.26014187828866</v>
      </c>
    </row>
    <row r="420" spans="1:11" x14ac:dyDescent="0.2">
      <c r="A420" t="s">
        <v>1509</v>
      </c>
      <c r="B420" t="s">
        <v>1745</v>
      </c>
      <c r="C420" t="s">
        <v>1756</v>
      </c>
      <c r="D420" t="s">
        <v>1757</v>
      </c>
      <c r="E420" t="s">
        <v>520</v>
      </c>
      <c r="F420" t="s">
        <v>24</v>
      </c>
      <c r="G420" t="s">
        <v>12</v>
      </c>
      <c r="H420">
        <f>24574*(1.01^10)</f>
        <v>27144.984109854944</v>
      </c>
      <c r="I420">
        <f>116606*(1.01^10)</f>
        <v>128805.56755569894</v>
      </c>
      <c r="J420" t="s">
        <v>1758</v>
      </c>
      <c r="K420">
        <f t="shared" si="6"/>
        <v>801.021782769884</v>
      </c>
    </row>
    <row r="421" spans="1:11" x14ac:dyDescent="0.2">
      <c r="A421" t="s">
        <v>1509</v>
      </c>
      <c r="B421" t="s">
        <v>1745</v>
      </c>
      <c r="C421" t="s">
        <v>1759</v>
      </c>
      <c r="D421" t="s">
        <v>1760</v>
      </c>
      <c r="E421" t="s">
        <v>264</v>
      </c>
      <c r="F421" t="s">
        <v>11</v>
      </c>
      <c r="G421" t="s">
        <v>17</v>
      </c>
      <c r="H421">
        <f>28611*(1.01^10)</f>
        <v>31604.343630139978</v>
      </c>
      <c r="I421">
        <f>165629*(1.01^10)</f>
        <v>182957.45800973242</v>
      </c>
      <c r="J421" t="s">
        <v>1761</v>
      </c>
      <c r="K421">
        <f t="shared" si="6"/>
        <v>586.67163894580437</v>
      </c>
    </row>
    <row r="422" spans="1:11" x14ac:dyDescent="0.2">
      <c r="A422" t="s">
        <v>1509</v>
      </c>
      <c r="B422" t="s">
        <v>1763</v>
      </c>
      <c r="C422" t="s">
        <v>1764</v>
      </c>
      <c r="D422" t="s">
        <v>1765</v>
      </c>
      <c r="E422" t="s">
        <v>1229</v>
      </c>
      <c r="F422" t="s">
        <v>17</v>
      </c>
      <c r="G422" t="s">
        <v>17</v>
      </c>
      <c r="H422">
        <f>25442*(1.01^10)</f>
        <v>28103.796114711869</v>
      </c>
      <c r="I422">
        <f>166778*(1.01^10)</f>
        <v>184226.66883182991</v>
      </c>
      <c r="J422" t="s">
        <v>1766</v>
      </c>
      <c r="K422">
        <f t="shared" si="6"/>
        <v>823.29702442717075</v>
      </c>
    </row>
    <row r="423" spans="1:11" x14ac:dyDescent="0.2">
      <c r="A423" t="s">
        <v>1509</v>
      </c>
      <c r="B423" t="s">
        <v>1763</v>
      </c>
      <c r="C423" t="s">
        <v>1768</v>
      </c>
      <c r="D423" t="s">
        <v>1769</v>
      </c>
      <c r="E423" t="s">
        <v>489</v>
      </c>
      <c r="F423" t="s">
        <v>274</v>
      </c>
      <c r="G423" t="s">
        <v>17</v>
      </c>
      <c r="H423">
        <f>42213*(1.01^10)</f>
        <v>46629.413779983188</v>
      </c>
      <c r="I423">
        <f>287101*(1.01^10)</f>
        <v>317138.1168276823</v>
      </c>
      <c r="J423" t="s">
        <v>1770</v>
      </c>
      <c r="K423">
        <f t="shared" si="6"/>
        <v>681.41302560259965</v>
      </c>
    </row>
    <row r="424" spans="1:11" x14ac:dyDescent="0.2">
      <c r="A424" t="s">
        <v>1509</v>
      </c>
      <c r="B424" t="s">
        <v>1763</v>
      </c>
      <c r="C424" t="s">
        <v>1772</v>
      </c>
      <c r="D424" t="s">
        <v>1773</v>
      </c>
      <c r="E424" t="s">
        <v>320</v>
      </c>
      <c r="F424" t="s">
        <v>17</v>
      </c>
      <c r="G424" t="s">
        <v>17</v>
      </c>
      <c r="H424">
        <f>50407*(1.01^10)</f>
        <v>55680.687475602601</v>
      </c>
      <c r="I424">
        <f>343406*(1.01^10)</f>
        <v>379333.8655989602</v>
      </c>
      <c r="J424" t="s">
        <v>1774</v>
      </c>
      <c r="K424">
        <f t="shared" si="6"/>
        <v>720.4536471562219</v>
      </c>
    </row>
    <row r="425" spans="1:11" x14ac:dyDescent="0.2">
      <c r="A425" t="s">
        <v>1509</v>
      </c>
      <c r="B425" t="s">
        <v>1763</v>
      </c>
      <c r="C425" t="s">
        <v>1776</v>
      </c>
      <c r="D425" t="s">
        <v>1777</v>
      </c>
      <c r="E425" t="s">
        <v>324</v>
      </c>
      <c r="F425" t="s">
        <v>152</v>
      </c>
      <c r="G425" t="s">
        <v>17</v>
      </c>
      <c r="H425">
        <f>42218*(1.01^10)</f>
        <v>46634.936890610239</v>
      </c>
      <c r="I425">
        <f>291978*(1.01^10)</f>
        <v>322525.35893331276</v>
      </c>
      <c r="J425" t="s">
        <v>1778</v>
      </c>
      <c r="K425">
        <f t="shared" si="6"/>
        <v>1107.1883670461527</v>
      </c>
    </row>
    <row r="426" spans="1:11" x14ac:dyDescent="0.2">
      <c r="A426" t="s">
        <v>1509</v>
      </c>
      <c r="B426" t="s">
        <v>1779</v>
      </c>
      <c r="C426" t="s">
        <v>1780</v>
      </c>
      <c r="D426" t="s">
        <v>1781</v>
      </c>
      <c r="E426" t="s">
        <v>425</v>
      </c>
      <c r="F426" t="s">
        <v>11</v>
      </c>
      <c r="G426" t="s">
        <v>17</v>
      </c>
      <c r="H426">
        <f>321456*(1.01^10)</f>
        <v>355087.40994618426</v>
      </c>
      <c r="I426">
        <f>1594839*(1.01^10)</f>
        <v>1761694.4458686803</v>
      </c>
      <c r="J426" t="s">
        <v>1641</v>
      </c>
      <c r="K426">
        <f t="shared" si="6"/>
        <v>5019.072495352365</v>
      </c>
    </row>
    <row r="427" spans="1:11" x14ac:dyDescent="0.2">
      <c r="A427" t="s">
        <v>1509</v>
      </c>
      <c r="B427" t="s">
        <v>1779</v>
      </c>
      <c r="C427" t="s">
        <v>1782</v>
      </c>
      <c r="D427" t="s">
        <v>1783</v>
      </c>
      <c r="E427" t="s">
        <v>253</v>
      </c>
      <c r="F427" t="s">
        <v>17</v>
      </c>
      <c r="G427" t="s">
        <v>12</v>
      </c>
      <c r="H427">
        <f>37463*(1.01^10)</f>
        <v>41382.458684279962</v>
      </c>
      <c r="I427">
        <f>214894*(1.01^10)</f>
        <v>237376.66701811543</v>
      </c>
      <c r="J427" t="s">
        <v>1494</v>
      </c>
      <c r="K427">
        <f t="shared" si="6"/>
        <v>608.65812055927029</v>
      </c>
    </row>
    <row r="428" spans="1:11" x14ac:dyDescent="0.2">
      <c r="A428" t="s">
        <v>1509</v>
      </c>
      <c r="B428" t="s">
        <v>1785</v>
      </c>
      <c r="C428" t="s">
        <v>1786</v>
      </c>
      <c r="D428" t="s">
        <v>1787</v>
      </c>
      <c r="E428" t="s">
        <v>320</v>
      </c>
      <c r="F428" t="s">
        <v>11</v>
      </c>
      <c r="G428" t="s">
        <v>11</v>
      </c>
      <c r="H428">
        <f>86487*(1.01^10)</f>
        <v>95535.453760438861</v>
      </c>
      <c r="I428">
        <f>506253*(1.01^10)</f>
        <v>559218.26485579868</v>
      </c>
      <c r="J428" t="s">
        <v>1788</v>
      </c>
      <c r="K428">
        <f t="shared" si="6"/>
        <v>903.99980107696695</v>
      </c>
    </row>
    <row r="429" spans="1:11" x14ac:dyDescent="0.2">
      <c r="A429" t="s">
        <v>1509</v>
      </c>
      <c r="B429" t="s">
        <v>1785</v>
      </c>
      <c r="C429" t="s">
        <v>1789</v>
      </c>
      <c r="D429" t="s">
        <v>1790</v>
      </c>
      <c r="E429" t="s">
        <v>1229</v>
      </c>
      <c r="F429" t="s">
        <v>6</v>
      </c>
      <c r="G429" t="s">
        <v>12</v>
      </c>
      <c r="H429">
        <f>40525*(1.01^10)</f>
        <v>44764.811632289071</v>
      </c>
      <c r="I429">
        <f>269015*(1.01^10)</f>
        <v>297159.92106749525</v>
      </c>
      <c r="J429" t="s">
        <v>1791</v>
      </c>
      <c r="K429">
        <f t="shared" si="6"/>
        <v>814.78675396080644</v>
      </c>
    </row>
    <row r="430" spans="1:11" x14ac:dyDescent="0.2">
      <c r="A430" t="s">
        <v>1509</v>
      </c>
      <c r="B430" t="s">
        <v>1785</v>
      </c>
      <c r="C430" t="s">
        <v>1792</v>
      </c>
      <c r="D430" t="s">
        <v>1793</v>
      </c>
      <c r="E430" t="s">
        <v>333</v>
      </c>
      <c r="F430" t="s">
        <v>17</v>
      </c>
      <c r="G430" t="s">
        <v>17</v>
      </c>
      <c r="H430">
        <f>44145*(1.01^10)</f>
        <v>48763.543726277632</v>
      </c>
      <c r="I430">
        <f>267440*(1.01^10)</f>
        <v>295420.14121997257</v>
      </c>
      <c r="J430" t="s">
        <v>1794</v>
      </c>
      <c r="K430">
        <f t="shared" si="6"/>
        <v>786.35824724769407</v>
      </c>
    </row>
    <row r="431" spans="1:11" x14ac:dyDescent="0.2">
      <c r="A431" t="s">
        <v>1795</v>
      </c>
      <c r="B431" t="s">
        <v>1796</v>
      </c>
      <c r="C431" t="s">
        <v>1797</v>
      </c>
      <c r="D431" t="s">
        <v>1798</v>
      </c>
      <c r="E431" t="s">
        <v>72</v>
      </c>
      <c r="F431" t="s">
        <v>11</v>
      </c>
      <c r="G431" t="s">
        <v>356</v>
      </c>
      <c r="H431">
        <f>160132*(1.01^10)</f>
        <v>176885.35018634703</v>
      </c>
      <c r="I431">
        <f>809913*(1.01^10)</f>
        <v>894647.81945816509</v>
      </c>
      <c r="J431" t="s">
        <v>1799</v>
      </c>
      <c r="K431">
        <f t="shared" si="6"/>
        <v>3392.150077410588</v>
      </c>
    </row>
    <row r="432" spans="1:11" x14ac:dyDescent="0.2">
      <c r="A432" t="s">
        <v>1795</v>
      </c>
      <c r="B432" t="s">
        <v>1796</v>
      </c>
      <c r="C432" t="s">
        <v>1800</v>
      </c>
      <c r="D432" t="s">
        <v>1801</v>
      </c>
      <c r="E432" t="s">
        <v>382</v>
      </c>
      <c r="F432" t="s">
        <v>24</v>
      </c>
      <c r="G432" t="s">
        <v>318</v>
      </c>
      <c r="H432">
        <f>455011*(1.01^10)</f>
        <v>502615.21790547768</v>
      </c>
      <c r="I432">
        <f>2250816*(1.01^10)</f>
        <v>2486301.1538295462</v>
      </c>
      <c r="J432" t="s">
        <v>1802</v>
      </c>
      <c r="K432">
        <f t="shared" si="6"/>
        <v>16151.149219465522</v>
      </c>
    </row>
    <row r="433" spans="1:11" x14ac:dyDescent="0.2">
      <c r="A433" t="s">
        <v>1795</v>
      </c>
      <c r="B433" t="s">
        <v>1796</v>
      </c>
      <c r="C433" t="s">
        <v>1803</v>
      </c>
      <c r="D433" t="s">
        <v>1804</v>
      </c>
      <c r="E433" t="s">
        <v>24</v>
      </c>
      <c r="F433" t="s">
        <v>12</v>
      </c>
      <c r="G433" t="s">
        <v>12</v>
      </c>
      <c r="H433">
        <f>121110*(1.01^10)</f>
        <v>133780.785608551</v>
      </c>
      <c r="I433">
        <f>595810*(1.01^10)</f>
        <v>658144.90854124993</v>
      </c>
      <c r="J433" t="s">
        <v>1805</v>
      </c>
      <c r="K433">
        <f t="shared" si="6"/>
        <v>25993.308473699253</v>
      </c>
    </row>
    <row r="434" spans="1:11" x14ac:dyDescent="0.2">
      <c r="A434" t="s">
        <v>1795</v>
      </c>
      <c r="B434" t="s">
        <v>1806</v>
      </c>
      <c r="C434" t="s">
        <v>1807</v>
      </c>
      <c r="D434" t="s">
        <v>1808</v>
      </c>
      <c r="E434" t="s">
        <v>17</v>
      </c>
      <c r="F434" t="s">
        <v>17</v>
      </c>
      <c r="G434" t="s">
        <v>5</v>
      </c>
      <c r="H434">
        <f>139116*(1.01^10)</f>
        <v>153670.61159870515</v>
      </c>
      <c r="I434">
        <f>688616*(1.01^10)</f>
        <v>760660.46951216215</v>
      </c>
      <c r="J434" t="s">
        <v>1809</v>
      </c>
      <c r="K434">
        <f t="shared" si="6"/>
        <v>14318.106324744036</v>
      </c>
    </row>
    <row r="435" spans="1:11" x14ac:dyDescent="0.2">
      <c r="A435" t="s">
        <v>1795</v>
      </c>
      <c r="B435" t="s">
        <v>1806</v>
      </c>
      <c r="C435" t="s">
        <v>1810</v>
      </c>
      <c r="D435" t="s">
        <v>1811</v>
      </c>
      <c r="E435" t="s">
        <v>24</v>
      </c>
      <c r="F435" t="s">
        <v>24</v>
      </c>
      <c r="G435" t="s">
        <v>24</v>
      </c>
      <c r="H435">
        <f>25576*(1.01^10)</f>
        <v>28251.815479516972</v>
      </c>
      <c r="I435">
        <f>130188*(1.01^10)</f>
        <v>143808.54526303391</v>
      </c>
      <c r="J435" t="s">
        <v>1812</v>
      </c>
      <c r="K435">
        <f t="shared" si="6"/>
        <v>42389.703543740907</v>
      </c>
    </row>
    <row r="436" spans="1:11" x14ac:dyDescent="0.2">
      <c r="A436" t="s">
        <v>1795</v>
      </c>
      <c r="B436" t="s">
        <v>1806</v>
      </c>
      <c r="C436" t="s">
        <v>1813</v>
      </c>
      <c r="D436" t="s">
        <v>1814</v>
      </c>
      <c r="E436" t="s">
        <v>24</v>
      </c>
      <c r="F436" t="s">
        <v>24</v>
      </c>
      <c r="G436" t="s">
        <v>24</v>
      </c>
      <c r="H436">
        <f>15352*(1.01^10)</f>
        <v>16958.158869312814</v>
      </c>
      <c r="I436">
        <f>69174*(1.01^10)</f>
        <v>76411.130903194673</v>
      </c>
      <c r="J436" t="s">
        <v>1815</v>
      </c>
      <c r="K436">
        <f t="shared" si="6"/>
        <v>17049.616871215818</v>
      </c>
    </row>
    <row r="437" spans="1:11" x14ac:dyDescent="0.2">
      <c r="A437" t="s">
        <v>1795</v>
      </c>
      <c r="B437" t="s">
        <v>1816</v>
      </c>
      <c r="C437" t="s">
        <v>1817</v>
      </c>
      <c r="D437" t="s">
        <v>1818</v>
      </c>
      <c r="E437" t="s">
        <v>152</v>
      </c>
      <c r="F437" t="s">
        <v>12</v>
      </c>
      <c r="G437" t="s">
        <v>382</v>
      </c>
      <c r="H437">
        <f>245151*(1.01^10)</f>
        <v>270799.21866668225</v>
      </c>
      <c r="I437">
        <f>1378779*(1.01^10)</f>
        <v>1523029.7894523356</v>
      </c>
      <c r="J437" t="s">
        <v>1819</v>
      </c>
      <c r="K437">
        <f t="shared" si="6"/>
        <v>31471.619353191243</v>
      </c>
    </row>
    <row r="438" spans="1:11" x14ac:dyDescent="0.2">
      <c r="A438" t="s">
        <v>1795</v>
      </c>
      <c r="B438" t="s">
        <v>1816</v>
      </c>
      <c r="C438" t="s">
        <v>1820</v>
      </c>
      <c r="D438" t="s">
        <v>1821</v>
      </c>
      <c r="E438" t="s">
        <v>24</v>
      </c>
      <c r="F438" t="s">
        <v>24</v>
      </c>
      <c r="G438" t="s">
        <v>17</v>
      </c>
      <c r="H438">
        <f>58246*(1.01^10)</f>
        <v>64339.820316701029</v>
      </c>
      <c r="I438">
        <f>322931*(1.01^10)</f>
        <v>356716.72758116579</v>
      </c>
      <c r="J438" t="s">
        <v>1822</v>
      </c>
      <c r="K438">
        <f t="shared" si="6"/>
        <v>65949.41938216245</v>
      </c>
    </row>
    <row r="439" spans="1:11" x14ac:dyDescent="0.2">
      <c r="A439" t="s">
        <v>1795</v>
      </c>
      <c r="B439" t="s">
        <v>1816</v>
      </c>
      <c r="C439" t="s">
        <v>1823</v>
      </c>
      <c r="D439" t="s">
        <v>1824</v>
      </c>
      <c r="E439" t="s">
        <v>24</v>
      </c>
      <c r="F439" t="s">
        <v>24</v>
      </c>
      <c r="G439" t="s">
        <v>12</v>
      </c>
      <c r="H439">
        <f>102728*(1.01^10)</f>
        <v>113475.62169924224</v>
      </c>
      <c r="I439">
        <f>539914*(1.01^10)</f>
        <v>596400.95021926519</v>
      </c>
      <c r="J439" t="s">
        <v>1825</v>
      </c>
      <c r="K439">
        <f t="shared" si="6"/>
        <v>72755.758766325074</v>
      </c>
    </row>
    <row r="440" spans="1:11" x14ac:dyDescent="0.2">
      <c r="A440" t="s">
        <v>1795</v>
      </c>
      <c r="B440" t="s">
        <v>1826</v>
      </c>
      <c r="C440" t="s">
        <v>1827</v>
      </c>
      <c r="D440" t="s">
        <v>1828</v>
      </c>
      <c r="E440" t="s">
        <v>24</v>
      </c>
      <c r="F440" t="s">
        <v>24</v>
      </c>
      <c r="G440" t="s">
        <v>12</v>
      </c>
      <c r="H440">
        <f>80389*(1.01^10)</f>
        <v>88799.468039681335</v>
      </c>
      <c r="I440">
        <f>395342*(1.01^10)</f>
        <v>436703.52030431648</v>
      </c>
      <c r="J440" t="s">
        <v>1829</v>
      </c>
      <c r="K440">
        <f t="shared" si="6"/>
        <v>98515.748119865166</v>
      </c>
    </row>
    <row r="441" spans="1:11" x14ac:dyDescent="0.2">
      <c r="A441" t="s">
        <v>1795</v>
      </c>
      <c r="B441" t="s">
        <v>1826</v>
      </c>
      <c r="C441" t="s">
        <v>1830</v>
      </c>
      <c r="D441" t="s">
        <v>1831</v>
      </c>
      <c r="E441" t="s">
        <v>24</v>
      </c>
      <c r="F441" t="s">
        <v>24</v>
      </c>
      <c r="G441" t="s">
        <v>24</v>
      </c>
      <c r="H441">
        <f>50134*(1.01^10)</f>
        <v>55379.125635365337</v>
      </c>
      <c r="I441">
        <f>247906*(1.01^10)</f>
        <v>273842.45262219012</v>
      </c>
      <c r="J441" t="s">
        <v>1832</v>
      </c>
      <c r="K441">
        <f t="shared" si="6"/>
        <v>12514.541422744403</v>
      </c>
    </row>
    <row r="442" spans="1:11" x14ac:dyDescent="0.2">
      <c r="A442" t="s">
        <v>1795</v>
      </c>
      <c r="B442" t="s">
        <v>1826</v>
      </c>
      <c r="C442" t="s">
        <v>1833</v>
      </c>
      <c r="D442" t="s">
        <v>1834</v>
      </c>
      <c r="E442" t="s">
        <v>12</v>
      </c>
      <c r="F442" t="s">
        <v>24</v>
      </c>
      <c r="G442" t="s">
        <v>158</v>
      </c>
      <c r="H442">
        <f>228414*(1.01^10)</f>
        <v>252311.15815367491</v>
      </c>
      <c r="I442">
        <f>1066098*(1.01^10)</f>
        <v>1177635.4386566347</v>
      </c>
      <c r="J442" t="s">
        <v>1835</v>
      </c>
      <c r="K442">
        <f t="shared" si="6"/>
        <v>32101.078424081257</v>
      </c>
    </row>
    <row r="443" spans="1:11" x14ac:dyDescent="0.2">
      <c r="A443" t="s">
        <v>1795</v>
      </c>
      <c r="B443" t="s">
        <v>1836</v>
      </c>
      <c r="C443" t="s">
        <v>1837</v>
      </c>
      <c r="D443" t="s">
        <v>1838</v>
      </c>
      <c r="E443" t="s">
        <v>24</v>
      </c>
      <c r="F443" t="s">
        <v>24</v>
      </c>
      <c r="G443" t="s">
        <v>24</v>
      </c>
      <c r="H443">
        <f>6814*(1.01^10)</f>
        <v>7526.8951625519494</v>
      </c>
      <c r="I443">
        <f>28228*(1.01^10)</f>
        <v>31181.273356107489</v>
      </c>
      <c r="J443" t="s">
        <v>1839</v>
      </c>
      <c r="K443">
        <f t="shared" si="6"/>
        <v>4080.4286856328208</v>
      </c>
    </row>
    <row r="444" spans="1:11" x14ac:dyDescent="0.2">
      <c r="A444" t="s">
        <v>1795</v>
      </c>
      <c r="B444" t="s">
        <v>1836</v>
      </c>
      <c r="C444" t="s">
        <v>1840</v>
      </c>
      <c r="D444" t="s">
        <v>1841</v>
      </c>
      <c r="E444" t="s">
        <v>24</v>
      </c>
      <c r="F444" t="s">
        <v>24</v>
      </c>
      <c r="G444" t="s">
        <v>24</v>
      </c>
      <c r="H444">
        <f>15074*(1.01^10)</f>
        <v>16651.073918448499</v>
      </c>
      <c r="I444">
        <f>61382*(1.01^10)</f>
        <v>67803.915301990564</v>
      </c>
      <c r="J444" t="s">
        <v>1842</v>
      </c>
      <c r="K444">
        <f t="shared" si="6"/>
        <v>3451.0058287906863</v>
      </c>
    </row>
    <row r="445" spans="1:11" x14ac:dyDescent="0.2">
      <c r="A445" t="s">
        <v>1795</v>
      </c>
      <c r="B445" t="s">
        <v>1836</v>
      </c>
      <c r="C445" t="s">
        <v>1843</v>
      </c>
      <c r="D445" t="s">
        <v>1844</v>
      </c>
      <c r="E445" t="s">
        <v>24</v>
      </c>
      <c r="F445" t="s">
        <v>24</v>
      </c>
      <c r="G445" t="s">
        <v>24</v>
      </c>
      <c r="H445">
        <f>11320*(1.01^10)</f>
        <v>12504.322459654837</v>
      </c>
      <c r="I445">
        <f>52394*(1.01^10)</f>
        <v>57875.57163879466</v>
      </c>
      <c r="J445" t="s">
        <v>1845</v>
      </c>
      <c r="K445">
        <f t="shared" si="6"/>
        <v>7505.8258633556607</v>
      </c>
    </row>
    <row r="446" spans="1:11" x14ac:dyDescent="0.2">
      <c r="A446" t="s">
        <v>1795</v>
      </c>
      <c r="B446" t="s">
        <v>1846</v>
      </c>
      <c r="C446" t="s">
        <v>1847</v>
      </c>
      <c r="D446" t="s">
        <v>1848</v>
      </c>
      <c r="E446" t="s">
        <v>24</v>
      </c>
      <c r="F446" t="s">
        <v>24</v>
      </c>
      <c r="G446" t="s">
        <v>24</v>
      </c>
      <c r="H446">
        <f>53125*(1.01^10)</f>
        <v>58683.050412470249</v>
      </c>
      <c r="I446">
        <f>271108*(1.01^10)</f>
        <v>299471.89517598087</v>
      </c>
      <c r="J446" t="s">
        <v>1849</v>
      </c>
      <c r="K446">
        <f t="shared" si="6"/>
        <v>26361.869586116281</v>
      </c>
    </row>
    <row r="447" spans="1:11" x14ac:dyDescent="0.2">
      <c r="A447" t="s">
        <v>1795</v>
      </c>
      <c r="B447" t="s">
        <v>1846</v>
      </c>
      <c r="C447" t="s">
        <v>1850</v>
      </c>
      <c r="D447" t="s">
        <v>1851</v>
      </c>
      <c r="E447" t="s">
        <v>24</v>
      </c>
      <c r="F447" t="s">
        <v>24</v>
      </c>
      <c r="G447" t="s">
        <v>24</v>
      </c>
      <c r="H447">
        <f>36018*(1.01^10)</f>
        <v>39786.279713060772</v>
      </c>
      <c r="I447">
        <f>174613*(1.01^10)</f>
        <v>192881.3831844267</v>
      </c>
      <c r="J447" t="s">
        <v>1852</v>
      </c>
      <c r="K447">
        <f t="shared" si="6"/>
        <v>42255.552608934682</v>
      </c>
    </row>
    <row r="448" spans="1:11" x14ac:dyDescent="0.2">
      <c r="A448" t="s">
        <v>1795</v>
      </c>
      <c r="B448" t="s">
        <v>1846</v>
      </c>
      <c r="C448" t="s">
        <v>1853</v>
      </c>
      <c r="D448" t="s">
        <v>1854</v>
      </c>
      <c r="E448" t="s">
        <v>24</v>
      </c>
      <c r="F448" t="s">
        <v>24</v>
      </c>
      <c r="G448" t="s">
        <v>24</v>
      </c>
      <c r="H448">
        <f>30496*(1.01^10)</f>
        <v>33686.556336540103</v>
      </c>
      <c r="I448">
        <f>136599*(1.01^10)</f>
        <v>150890.27770904516</v>
      </c>
      <c r="J448" t="s">
        <v>1855</v>
      </c>
      <c r="K448">
        <f t="shared" si="6"/>
        <v>29730.199958046622</v>
      </c>
    </row>
    <row r="449" spans="1:11" x14ac:dyDescent="0.2">
      <c r="A449" t="s">
        <v>1795</v>
      </c>
      <c r="B449" t="s">
        <v>1856</v>
      </c>
      <c r="C449" t="s">
        <v>1857</v>
      </c>
      <c r="D449" t="s">
        <v>1858</v>
      </c>
      <c r="E449" t="s">
        <v>24</v>
      </c>
      <c r="F449" t="s">
        <v>24</v>
      </c>
      <c r="G449" t="s">
        <v>17</v>
      </c>
      <c r="H449">
        <f>267062*(1.01^10)</f>
        <v>295002.59405656718</v>
      </c>
      <c r="I449">
        <f>1262158*(1.01^10)</f>
        <v>1394207.6525647554</v>
      </c>
      <c r="J449" t="s">
        <v>1859</v>
      </c>
      <c r="K449">
        <f t="shared" si="6"/>
        <v>29706.734451767643</v>
      </c>
    </row>
    <row r="450" spans="1:11" x14ac:dyDescent="0.2">
      <c r="A450" t="s">
        <v>1795</v>
      </c>
      <c r="B450" t="s">
        <v>1856</v>
      </c>
      <c r="C450" t="s">
        <v>1860</v>
      </c>
      <c r="D450" t="s">
        <v>1861</v>
      </c>
      <c r="E450" t="s">
        <v>24</v>
      </c>
      <c r="F450" t="s">
        <v>24</v>
      </c>
      <c r="G450" t="s">
        <v>24</v>
      </c>
      <c r="H450">
        <f>104152*(1.01^10)</f>
        <v>115048.6036058278</v>
      </c>
      <c r="I450">
        <f>481632*(1.01^10)</f>
        <v>532021.36350604938</v>
      </c>
      <c r="J450" t="s">
        <v>1862</v>
      </c>
      <c r="K450">
        <f t="shared" si="6"/>
        <v>50995.091713434762</v>
      </c>
    </row>
    <row r="451" spans="1:11" x14ac:dyDescent="0.2">
      <c r="A451" t="s">
        <v>1795</v>
      </c>
      <c r="B451" t="s">
        <v>1856</v>
      </c>
      <c r="C451" t="s">
        <v>1863</v>
      </c>
      <c r="D451" t="s">
        <v>1864</v>
      </c>
      <c r="E451" t="s">
        <v>17</v>
      </c>
      <c r="F451" t="s">
        <v>24</v>
      </c>
      <c r="G451" t="s">
        <v>744</v>
      </c>
      <c r="H451">
        <f>162007*(1.01^10)</f>
        <v>178956.51667149304</v>
      </c>
      <c r="I451">
        <f>799453*(1.01^10)</f>
        <v>883093.47202636383</v>
      </c>
      <c r="J451" t="s">
        <v>1865</v>
      </c>
      <c r="K451">
        <f t="shared" ref="K451:K514" si="7">I451/J451</f>
        <v>12157.98948131472</v>
      </c>
    </row>
    <row r="452" spans="1:11" x14ac:dyDescent="0.2">
      <c r="A452" t="s">
        <v>1795</v>
      </c>
      <c r="B452" t="s">
        <v>1866</v>
      </c>
      <c r="C452" t="s">
        <v>1867</v>
      </c>
      <c r="D452" t="s">
        <v>1868</v>
      </c>
      <c r="E452" t="s">
        <v>16</v>
      </c>
      <c r="F452" t="s">
        <v>17</v>
      </c>
      <c r="G452" t="s">
        <v>405</v>
      </c>
      <c r="H452">
        <f>278874*(1.01^10)</f>
        <v>308050.39060192433</v>
      </c>
      <c r="I452">
        <f>1365152*(1.01^10)</f>
        <v>1507977.1037493569</v>
      </c>
      <c r="J452" t="s">
        <v>1869</v>
      </c>
      <c r="K452">
        <f t="shared" si="7"/>
        <v>5758.2504584439312</v>
      </c>
    </row>
    <row r="453" spans="1:11" x14ac:dyDescent="0.2">
      <c r="A453" t="s">
        <v>1795</v>
      </c>
      <c r="B453" t="s">
        <v>1866</v>
      </c>
      <c r="C453" t="s">
        <v>1870</v>
      </c>
      <c r="D453" t="s">
        <v>1871</v>
      </c>
      <c r="E453" t="s">
        <v>24</v>
      </c>
      <c r="F453" t="s">
        <v>24</v>
      </c>
      <c r="G453" t="s">
        <v>17</v>
      </c>
      <c r="H453">
        <f>63974*(1.01^10)</f>
        <v>70667.095851056409</v>
      </c>
      <c r="I453">
        <f>286140*(1.01^10)</f>
        <v>316076.57496516214</v>
      </c>
      <c r="J453" t="s">
        <v>1872</v>
      </c>
      <c r="K453">
        <f t="shared" si="7"/>
        <v>4678.0126945498823</v>
      </c>
    </row>
    <row r="454" spans="1:11" x14ac:dyDescent="0.2">
      <c r="A454" t="s">
        <v>1795</v>
      </c>
      <c r="B454" t="s">
        <v>1866</v>
      </c>
      <c r="C454" t="s">
        <v>1873</v>
      </c>
      <c r="D454" t="s">
        <v>1874</v>
      </c>
      <c r="E454" t="s">
        <v>24</v>
      </c>
      <c r="F454" t="s">
        <v>24</v>
      </c>
      <c r="G454" t="s">
        <v>6</v>
      </c>
      <c r="H454">
        <f>151591*(1.01^10)</f>
        <v>167450.77261320993</v>
      </c>
      <c r="I454">
        <f>641666*(1.01^10)</f>
        <v>708798.46072410606</v>
      </c>
      <c r="J454" t="s">
        <v>1875</v>
      </c>
      <c r="K454">
        <f t="shared" si="7"/>
        <v>7741.992962432706</v>
      </c>
    </row>
    <row r="455" spans="1:11" x14ac:dyDescent="0.2">
      <c r="A455" t="s">
        <v>1795</v>
      </c>
      <c r="B455" t="s">
        <v>1876</v>
      </c>
      <c r="C455" t="s">
        <v>1877</v>
      </c>
      <c r="D455" t="s">
        <v>1878</v>
      </c>
      <c r="E455" t="s">
        <v>11</v>
      </c>
      <c r="F455" t="s">
        <v>24</v>
      </c>
      <c r="G455" t="s">
        <v>274</v>
      </c>
      <c r="H455">
        <f>254502*(1.01^10)</f>
        <v>281128.54016140243</v>
      </c>
      <c r="I455">
        <f>1231293*(1.01^10)</f>
        <v>1360113.4906639385</v>
      </c>
      <c r="J455" t="s">
        <v>1879</v>
      </c>
      <c r="K455">
        <f t="shared" si="7"/>
        <v>9058.6622591927862</v>
      </c>
    </row>
    <row r="456" spans="1:11" x14ac:dyDescent="0.2">
      <c r="A456" t="s">
        <v>1795</v>
      </c>
      <c r="B456" t="s">
        <v>1876</v>
      </c>
      <c r="C456" t="s">
        <v>1880</v>
      </c>
      <c r="D456" t="s">
        <v>1881</v>
      </c>
      <c r="E456" t="s">
        <v>24</v>
      </c>
      <c r="F456" t="s">
        <v>24</v>
      </c>
      <c r="G456" t="s">
        <v>12</v>
      </c>
      <c r="H456">
        <f>137677*(1.01^10)</f>
        <v>152081.06036023842</v>
      </c>
      <c r="I456">
        <f>637775*(1.01^10)</f>
        <v>704500.37603413116</v>
      </c>
      <c r="J456" t="s">
        <v>1882</v>
      </c>
      <c r="K456">
        <f t="shared" si="7"/>
        <v>19157.05026260643</v>
      </c>
    </row>
    <row r="457" spans="1:11" x14ac:dyDescent="0.2">
      <c r="A457" t="s">
        <v>1795</v>
      </c>
      <c r="B457" t="s">
        <v>1876</v>
      </c>
      <c r="C457" t="s">
        <v>1883</v>
      </c>
      <c r="D457" t="s">
        <v>1884</v>
      </c>
      <c r="E457" t="s">
        <v>24</v>
      </c>
      <c r="F457" t="s">
        <v>24</v>
      </c>
      <c r="G457" t="s">
        <v>6</v>
      </c>
      <c r="H457">
        <f>181954*(1.01^10)</f>
        <v>200990.41420707034</v>
      </c>
      <c r="I457">
        <f>862861*(1.01^10)</f>
        <v>953135.35175443755</v>
      </c>
      <c r="J457" t="s">
        <v>1885</v>
      </c>
      <c r="K457">
        <f t="shared" si="7"/>
        <v>15864.453405910926</v>
      </c>
    </row>
    <row r="458" spans="1:11" x14ac:dyDescent="0.2">
      <c r="A458" t="s">
        <v>1886</v>
      </c>
      <c r="B458" t="s">
        <v>1887</v>
      </c>
      <c r="C458" t="s">
        <v>1888</v>
      </c>
      <c r="D458" t="s">
        <v>1889</v>
      </c>
      <c r="E458" t="s">
        <v>608</v>
      </c>
      <c r="F458" t="s">
        <v>520</v>
      </c>
      <c r="G458" t="s">
        <v>17</v>
      </c>
      <c r="H458">
        <f>29957*(1.01^10)</f>
        <v>33091.165010943463</v>
      </c>
      <c r="I458">
        <f>146878*(1.01^10)</f>
        <v>162244.68853614692</v>
      </c>
      <c r="J458" t="s">
        <v>1890</v>
      </c>
      <c r="K458">
        <f t="shared" si="7"/>
        <v>196.34119800567839</v>
      </c>
    </row>
    <row r="459" spans="1:11" x14ac:dyDescent="0.2">
      <c r="A459" t="s">
        <v>1886</v>
      </c>
      <c r="B459" t="s">
        <v>1887</v>
      </c>
      <c r="C459" t="s">
        <v>1891</v>
      </c>
      <c r="D459" t="s">
        <v>1892</v>
      </c>
      <c r="E459" t="s">
        <v>1893</v>
      </c>
      <c r="F459" t="s">
        <v>458</v>
      </c>
      <c r="G459" t="s">
        <v>17</v>
      </c>
      <c r="H459">
        <f>97958*(1.01^10)</f>
        <v>108206.57416103079</v>
      </c>
      <c r="I459">
        <f>481640*(1.01^10)</f>
        <v>532030.20048305264</v>
      </c>
      <c r="J459" t="s">
        <v>1894</v>
      </c>
      <c r="K459">
        <f t="shared" si="7"/>
        <v>537.05490280481536</v>
      </c>
    </row>
    <row r="460" spans="1:11" x14ac:dyDescent="0.2">
      <c r="A460" t="s">
        <v>1886</v>
      </c>
      <c r="B460" t="s">
        <v>1887</v>
      </c>
      <c r="C460" t="s">
        <v>1895</v>
      </c>
      <c r="D460" t="s">
        <v>1896</v>
      </c>
      <c r="E460" t="s">
        <v>798</v>
      </c>
      <c r="F460" t="s">
        <v>108</v>
      </c>
      <c r="G460" t="s">
        <v>17</v>
      </c>
      <c r="H460">
        <f>30603*(1.01^10)</f>
        <v>33804.750903959102</v>
      </c>
      <c r="I460">
        <f>158473*(1.01^10)</f>
        <v>175052.78208028985</v>
      </c>
      <c r="J460" t="s">
        <v>1897</v>
      </c>
      <c r="K460">
        <f t="shared" si="7"/>
        <v>225.7519295282907</v>
      </c>
    </row>
    <row r="461" spans="1:11" x14ac:dyDescent="0.2">
      <c r="A461" t="s">
        <v>1886</v>
      </c>
      <c r="B461" t="s">
        <v>1887</v>
      </c>
      <c r="C461" t="s">
        <v>1898</v>
      </c>
      <c r="D461" t="s">
        <v>1899</v>
      </c>
      <c r="E461" t="s">
        <v>1900</v>
      </c>
      <c r="F461" t="s">
        <v>92</v>
      </c>
      <c r="G461" t="s">
        <v>17</v>
      </c>
      <c r="H461">
        <f>31719*(1.01^10)</f>
        <v>35037.509195918006</v>
      </c>
      <c r="I461">
        <f>162718*(1.01^10)</f>
        <v>179741.9030026604</v>
      </c>
      <c r="J461" t="s">
        <v>1901</v>
      </c>
      <c r="K461">
        <f t="shared" si="7"/>
        <v>209.76630910423376</v>
      </c>
    </row>
    <row r="462" spans="1:11" x14ac:dyDescent="0.2">
      <c r="A462" t="s">
        <v>1886</v>
      </c>
      <c r="B462" t="s">
        <v>1887</v>
      </c>
      <c r="C462" t="s">
        <v>1902</v>
      </c>
      <c r="D462" t="s">
        <v>1903</v>
      </c>
      <c r="E462" t="s">
        <v>1324</v>
      </c>
      <c r="F462" t="s">
        <v>220</v>
      </c>
      <c r="G462" t="s">
        <v>12</v>
      </c>
      <c r="H462">
        <f>37854*(1.01^10)</f>
        <v>41814.365935315742</v>
      </c>
      <c r="I462">
        <f>196455*(1.01^10)</f>
        <v>217008.53964765824</v>
      </c>
      <c r="J462" t="s">
        <v>1904</v>
      </c>
      <c r="K462">
        <f t="shared" si="7"/>
        <v>163.61001163664082</v>
      </c>
    </row>
    <row r="463" spans="1:11" x14ac:dyDescent="0.2">
      <c r="A463" t="s">
        <v>1886</v>
      </c>
      <c r="B463" t="s">
        <v>1887</v>
      </c>
      <c r="C463" t="s">
        <v>1905</v>
      </c>
      <c r="D463" t="s">
        <v>1906</v>
      </c>
      <c r="E463" t="s">
        <v>1077</v>
      </c>
      <c r="F463" t="s">
        <v>77</v>
      </c>
      <c r="G463" t="s">
        <v>12</v>
      </c>
      <c r="H463">
        <f>36488*(1.01^10)</f>
        <v>40305.452112004037</v>
      </c>
      <c r="I463">
        <f>184423*(1.01^10)</f>
        <v>203717.7262347106</v>
      </c>
      <c r="J463" t="s">
        <v>1907</v>
      </c>
      <c r="K463">
        <f t="shared" si="7"/>
        <v>175.60319142456865</v>
      </c>
    </row>
    <row r="464" spans="1:11" x14ac:dyDescent="0.2">
      <c r="A464" t="s">
        <v>1886</v>
      </c>
      <c r="B464" t="s">
        <v>1887</v>
      </c>
      <c r="C464" t="s">
        <v>1908</v>
      </c>
      <c r="D464" t="s">
        <v>1909</v>
      </c>
      <c r="E464" t="s">
        <v>1910</v>
      </c>
      <c r="F464" t="s">
        <v>158</v>
      </c>
      <c r="G464" t="s">
        <v>11</v>
      </c>
      <c r="H464">
        <f>34350*(1.01^10)</f>
        <v>37943.770007874882</v>
      </c>
      <c r="I464">
        <f>171830*(1.01^10)</f>
        <v>189807.21980940731</v>
      </c>
      <c r="J464" t="s">
        <v>1911</v>
      </c>
      <c r="K464">
        <f t="shared" si="7"/>
        <v>137.30269541900552</v>
      </c>
    </row>
    <row r="465" spans="1:11" x14ac:dyDescent="0.2">
      <c r="A465" t="s">
        <v>1886</v>
      </c>
      <c r="B465" t="s">
        <v>1887</v>
      </c>
      <c r="C465" t="s">
        <v>1913</v>
      </c>
      <c r="D465" t="s">
        <v>1914</v>
      </c>
      <c r="E465" t="s">
        <v>743</v>
      </c>
      <c r="F465" t="s">
        <v>108</v>
      </c>
      <c r="G465" t="s">
        <v>17</v>
      </c>
      <c r="H465">
        <f>28721*(1.01^10)</f>
        <v>31725.85206393521</v>
      </c>
      <c r="I465">
        <f>145770*(1.01^10)</f>
        <v>161020.76722119132</v>
      </c>
      <c r="J465" t="s">
        <v>1915</v>
      </c>
      <c r="K465">
        <f t="shared" si="7"/>
        <v>190.53818456794539</v>
      </c>
    </row>
    <row r="466" spans="1:11" x14ac:dyDescent="0.2">
      <c r="A466" t="s">
        <v>1886</v>
      </c>
      <c r="B466" t="s">
        <v>1887</v>
      </c>
      <c r="C466" t="s">
        <v>1916</v>
      </c>
      <c r="D466" t="s">
        <v>1917</v>
      </c>
      <c r="E466" t="s">
        <v>513</v>
      </c>
      <c r="F466" t="s">
        <v>220</v>
      </c>
      <c r="G466" t="s">
        <v>12</v>
      </c>
      <c r="H466">
        <f>59861*(1.01^10)</f>
        <v>66123.785049240134</v>
      </c>
      <c r="I466">
        <f>320981*(1.01^10)</f>
        <v>354562.7144366139</v>
      </c>
      <c r="J466" t="s">
        <v>1918</v>
      </c>
      <c r="K466">
        <f t="shared" si="7"/>
        <v>125.96576866057165</v>
      </c>
    </row>
    <row r="467" spans="1:11" x14ac:dyDescent="0.2">
      <c r="A467" t="s">
        <v>1886</v>
      </c>
      <c r="B467" t="s">
        <v>977</v>
      </c>
      <c r="C467" t="s">
        <v>1919</v>
      </c>
      <c r="D467" t="s">
        <v>1920</v>
      </c>
      <c r="E467" t="s">
        <v>203</v>
      </c>
      <c r="F467" t="s">
        <v>11</v>
      </c>
      <c r="G467" t="s">
        <v>12</v>
      </c>
      <c r="H467">
        <f>30730*(1.01^10)</f>
        <v>33945.037913886321</v>
      </c>
      <c r="I467">
        <f>159143*(1.01^10)</f>
        <v>175792.87890431535</v>
      </c>
      <c r="J467" t="s">
        <v>1921</v>
      </c>
      <c r="K467">
        <f t="shared" si="7"/>
        <v>269.93391126785997</v>
      </c>
    </row>
    <row r="468" spans="1:11" x14ac:dyDescent="0.2">
      <c r="A468" t="s">
        <v>1886</v>
      </c>
      <c r="B468" t="s">
        <v>977</v>
      </c>
      <c r="C468" t="s">
        <v>1922</v>
      </c>
      <c r="D468" t="s">
        <v>1923</v>
      </c>
      <c r="E468" t="s">
        <v>718</v>
      </c>
      <c r="F468" t="s">
        <v>6</v>
      </c>
      <c r="G468" t="s">
        <v>24</v>
      </c>
      <c r="H468">
        <f>31401*(1.01^10)</f>
        <v>34686.239360037238</v>
      </c>
      <c r="I468">
        <f>165217*(1.01^10)</f>
        <v>182502.35369406303</v>
      </c>
      <c r="J468" t="s">
        <v>1924</v>
      </c>
      <c r="K468">
        <f t="shared" si="7"/>
        <v>246.4046438895501</v>
      </c>
    </row>
    <row r="469" spans="1:11" x14ac:dyDescent="0.2">
      <c r="A469" t="s">
        <v>1886</v>
      </c>
      <c r="B469" t="s">
        <v>977</v>
      </c>
      <c r="C469" t="s">
        <v>1925</v>
      </c>
      <c r="D469" t="s">
        <v>1926</v>
      </c>
      <c r="E469" t="s">
        <v>431</v>
      </c>
      <c r="F469" t="s">
        <v>382</v>
      </c>
      <c r="G469" t="s">
        <v>12</v>
      </c>
      <c r="H469">
        <f>81528*(1.01^10)</f>
        <v>90057.632640524695</v>
      </c>
      <c r="I469">
        <f>424619*(1.01^10)</f>
        <v>469043.54226998036</v>
      </c>
      <c r="J469" t="s">
        <v>1927</v>
      </c>
      <c r="K469">
        <f t="shared" si="7"/>
        <v>385.70516924036735</v>
      </c>
    </row>
    <row r="470" spans="1:11" x14ac:dyDescent="0.2">
      <c r="A470" t="s">
        <v>1886</v>
      </c>
      <c r="B470" t="s">
        <v>977</v>
      </c>
      <c r="C470" t="s">
        <v>1928</v>
      </c>
      <c r="D470" t="s">
        <v>1929</v>
      </c>
      <c r="E470" t="s">
        <v>1930</v>
      </c>
      <c r="F470" t="s">
        <v>44</v>
      </c>
      <c r="G470" t="s">
        <v>12</v>
      </c>
      <c r="H470">
        <f>41133*(1.01^10)</f>
        <v>45436.421884539086</v>
      </c>
      <c r="I470">
        <f>215715*(1.01^10)</f>
        <v>238283.56178307804</v>
      </c>
      <c r="J470" t="s">
        <v>1931</v>
      </c>
      <c r="K470">
        <f t="shared" si="7"/>
        <v>236.47209110015316</v>
      </c>
    </row>
    <row r="471" spans="1:11" x14ac:dyDescent="0.2">
      <c r="A471" t="s">
        <v>1886</v>
      </c>
      <c r="B471" t="s">
        <v>977</v>
      </c>
      <c r="C471" t="s">
        <v>1932</v>
      </c>
      <c r="D471" t="s">
        <v>1933</v>
      </c>
      <c r="E471" t="s">
        <v>1934</v>
      </c>
      <c r="F471" t="s">
        <v>108</v>
      </c>
      <c r="G471" t="s">
        <v>12</v>
      </c>
      <c r="H471">
        <f>37254*(1.01^10)</f>
        <v>41151.592660069022</v>
      </c>
      <c r="I471">
        <f>205093*(1.01^10)</f>
        <v>226550.26556696021</v>
      </c>
      <c r="J471" t="s">
        <v>1935</v>
      </c>
      <c r="K471">
        <f t="shared" si="7"/>
        <v>121.35096377006272</v>
      </c>
    </row>
    <row r="472" spans="1:11" x14ac:dyDescent="0.2">
      <c r="A472" t="s">
        <v>1886</v>
      </c>
      <c r="B472" t="s">
        <v>977</v>
      </c>
      <c r="C472" t="s">
        <v>1936</v>
      </c>
      <c r="D472" t="s">
        <v>1937</v>
      </c>
      <c r="E472" t="s">
        <v>563</v>
      </c>
      <c r="F472" t="s">
        <v>274</v>
      </c>
      <c r="G472" t="s">
        <v>12</v>
      </c>
      <c r="H472">
        <f>58531*(1.01^10)</f>
        <v>64654.637622443224</v>
      </c>
      <c r="I472">
        <f>314587*(1.01^10)</f>
        <v>347499.76056673465</v>
      </c>
      <c r="J472" t="s">
        <v>1938</v>
      </c>
      <c r="K472">
        <f t="shared" si="7"/>
        <v>141.78318962700217</v>
      </c>
    </row>
    <row r="473" spans="1:11" x14ac:dyDescent="0.2">
      <c r="A473" t="s">
        <v>1886</v>
      </c>
      <c r="B473" t="s">
        <v>977</v>
      </c>
      <c r="C473" t="s">
        <v>1939</v>
      </c>
      <c r="D473" t="s">
        <v>1940</v>
      </c>
      <c r="E473" t="s">
        <v>342</v>
      </c>
      <c r="F473" t="s">
        <v>382</v>
      </c>
      <c r="G473" t="s">
        <v>12</v>
      </c>
      <c r="H473">
        <f>55615*(1.01^10)</f>
        <v>61433.559504744153</v>
      </c>
      <c r="I473">
        <f>290318*(1.01^10)</f>
        <v>320691.68620513013</v>
      </c>
      <c r="J473" t="s">
        <v>1941</v>
      </c>
      <c r="K473">
        <f t="shared" si="7"/>
        <v>186.17316475942599</v>
      </c>
    </row>
    <row r="474" spans="1:11" x14ac:dyDescent="0.2">
      <c r="A474" t="s">
        <v>1886</v>
      </c>
      <c r="B474" t="s">
        <v>368</v>
      </c>
      <c r="C474" t="s">
        <v>1942</v>
      </c>
      <c r="D474" t="s">
        <v>1943</v>
      </c>
      <c r="E474" t="s">
        <v>1944</v>
      </c>
      <c r="F474" t="s">
        <v>411</v>
      </c>
      <c r="G474" t="s">
        <v>17</v>
      </c>
      <c r="H474">
        <f>158036*(1.01^10)</f>
        <v>174570.06221148514</v>
      </c>
      <c r="I474">
        <f>919706*(1.01^10)</f>
        <v>1015927.5964734375</v>
      </c>
      <c r="J474" t="s">
        <v>1945</v>
      </c>
      <c r="K474">
        <f t="shared" si="7"/>
        <v>274.67712514953445</v>
      </c>
    </row>
    <row r="475" spans="1:11" x14ac:dyDescent="0.2">
      <c r="A475" t="s">
        <v>1886</v>
      </c>
      <c r="B475" t="s">
        <v>368</v>
      </c>
      <c r="C475" t="s">
        <v>1947</v>
      </c>
      <c r="D475" t="s">
        <v>1948</v>
      </c>
      <c r="E475" t="s">
        <v>1027</v>
      </c>
      <c r="F475" t="s">
        <v>17</v>
      </c>
      <c r="G475" t="s">
        <v>24</v>
      </c>
      <c r="H475">
        <f>11977*(1.01^10)</f>
        <v>13230.059196049999</v>
      </c>
      <c r="I475">
        <f>67163*(1.01^10)</f>
        <v>74189.735808992744</v>
      </c>
      <c r="J475" t="s">
        <v>1949</v>
      </c>
      <c r="K475">
        <f t="shared" si="7"/>
        <v>30.758596935734968</v>
      </c>
    </row>
    <row r="476" spans="1:11" x14ac:dyDescent="0.2">
      <c r="A476" t="s">
        <v>1886</v>
      </c>
      <c r="B476" t="s">
        <v>368</v>
      </c>
      <c r="C476" t="s">
        <v>1950</v>
      </c>
      <c r="D476" t="s">
        <v>1951</v>
      </c>
      <c r="E476" t="s">
        <v>1010</v>
      </c>
      <c r="F476" t="s">
        <v>318</v>
      </c>
      <c r="G476" t="s">
        <v>24</v>
      </c>
      <c r="H476">
        <f>33850*(1.01^10)</f>
        <v>37391.458945169281</v>
      </c>
      <c r="I476">
        <f>213627*(1.01^10)</f>
        <v>235977.11078521944</v>
      </c>
      <c r="J476" t="s">
        <v>1952</v>
      </c>
      <c r="K476">
        <f t="shared" si="7"/>
        <v>46.277759393741505</v>
      </c>
    </row>
    <row r="477" spans="1:11" x14ac:dyDescent="0.2">
      <c r="A477" t="s">
        <v>1886</v>
      </c>
      <c r="B477" t="s">
        <v>368</v>
      </c>
      <c r="C477" t="s">
        <v>1953</v>
      </c>
      <c r="D477" t="s">
        <v>1954</v>
      </c>
      <c r="E477" t="s">
        <v>1955</v>
      </c>
      <c r="F477" t="s">
        <v>61</v>
      </c>
      <c r="G477" t="s">
        <v>12</v>
      </c>
      <c r="H477">
        <f>43118*(1.01^10)</f>
        <v>47629.096803480323</v>
      </c>
      <c r="I477">
        <f>261028*(1.01^10)</f>
        <v>288337.30415183597</v>
      </c>
      <c r="J477" t="s">
        <v>1956</v>
      </c>
      <c r="K477">
        <f t="shared" si="7"/>
        <v>35.72067692663974</v>
      </c>
    </row>
    <row r="478" spans="1:11" x14ac:dyDescent="0.2">
      <c r="A478" t="s">
        <v>1886</v>
      </c>
      <c r="B478" t="s">
        <v>368</v>
      </c>
      <c r="C478" t="s">
        <v>1957</v>
      </c>
      <c r="D478" t="s">
        <v>1958</v>
      </c>
      <c r="E478" t="s">
        <v>1352</v>
      </c>
      <c r="F478" t="s">
        <v>24</v>
      </c>
      <c r="G478" t="s">
        <v>12</v>
      </c>
      <c r="H478">
        <f>65622*(1.01^10)</f>
        <v>72487.51311373408</v>
      </c>
      <c r="I478">
        <f>436876*(1.01^10)</f>
        <v>482582.89566114551</v>
      </c>
      <c r="J478" t="s">
        <v>1959</v>
      </c>
      <c r="K478">
        <f t="shared" si="7"/>
        <v>127.31153410455818</v>
      </c>
    </row>
    <row r="479" spans="1:11" x14ac:dyDescent="0.2">
      <c r="A479" t="s">
        <v>1886</v>
      </c>
      <c r="B479" t="s">
        <v>368</v>
      </c>
      <c r="C479" t="s">
        <v>1961</v>
      </c>
      <c r="D479" t="s">
        <v>1962</v>
      </c>
      <c r="E479" t="s">
        <v>1580</v>
      </c>
      <c r="F479" t="s">
        <v>11</v>
      </c>
      <c r="G479" t="s">
        <v>12</v>
      </c>
      <c r="H479">
        <f>16080*(1.01^10)</f>
        <v>17762.323776612171</v>
      </c>
      <c r="I479">
        <f>88730*(1.01^10)</f>
        <v>98013.121187736193</v>
      </c>
      <c r="J479" t="s">
        <v>1963</v>
      </c>
      <c r="K479">
        <f t="shared" si="7"/>
        <v>48.129447996548471</v>
      </c>
    </row>
    <row r="480" spans="1:11" x14ac:dyDescent="0.2">
      <c r="A480" t="s">
        <v>1886</v>
      </c>
      <c r="B480" t="s">
        <v>368</v>
      </c>
      <c r="C480" t="s">
        <v>1964</v>
      </c>
      <c r="D480" t="s">
        <v>1965</v>
      </c>
      <c r="E480" t="s">
        <v>67</v>
      </c>
      <c r="F480" t="s">
        <v>12</v>
      </c>
      <c r="G480" t="s">
        <v>24</v>
      </c>
      <c r="H480">
        <f>13826*(1.01^10)</f>
        <v>15272.505505935316</v>
      </c>
      <c r="I480">
        <f>82488*(1.01^10)</f>
        <v>91118.069880919458</v>
      </c>
      <c r="J480" t="s">
        <v>1966</v>
      </c>
      <c r="K480">
        <f t="shared" si="7"/>
        <v>42.459492022795644</v>
      </c>
    </row>
    <row r="481" spans="1:11" x14ac:dyDescent="0.2">
      <c r="A481" t="s">
        <v>1886</v>
      </c>
      <c r="B481" t="s">
        <v>368</v>
      </c>
      <c r="C481" t="s">
        <v>1967</v>
      </c>
      <c r="D481" t="s">
        <v>1968</v>
      </c>
      <c r="E481" t="s">
        <v>32</v>
      </c>
      <c r="F481" t="s">
        <v>17</v>
      </c>
      <c r="G481" t="s">
        <v>12</v>
      </c>
      <c r="H481">
        <f>42435*(1.01^10)</f>
        <v>46874.639891824474</v>
      </c>
      <c r="I481">
        <f>294319*(1.01^10)</f>
        <v>325111.27932890039</v>
      </c>
      <c r="J481" t="s">
        <v>1969</v>
      </c>
      <c r="K481">
        <f t="shared" si="7"/>
        <v>108.94246687247637</v>
      </c>
    </row>
    <row r="482" spans="1:11" x14ac:dyDescent="0.2">
      <c r="A482" t="s">
        <v>1886</v>
      </c>
      <c r="B482" t="s">
        <v>28</v>
      </c>
      <c r="C482" t="s">
        <v>1970</v>
      </c>
      <c r="D482" t="s">
        <v>1971</v>
      </c>
      <c r="E482" t="s">
        <v>436</v>
      </c>
      <c r="F482" t="s">
        <v>108</v>
      </c>
      <c r="G482" t="s">
        <v>12</v>
      </c>
      <c r="H482">
        <f>37262*(1.01^10)</f>
        <v>41160.42963707231</v>
      </c>
      <c r="I482">
        <f>211831*(1.01^10)</f>
        <v>233993.20944798092</v>
      </c>
      <c r="J482" t="s">
        <v>1972</v>
      </c>
      <c r="K482">
        <f t="shared" si="7"/>
        <v>129.67189662724266</v>
      </c>
    </row>
    <row r="483" spans="1:11" x14ac:dyDescent="0.2">
      <c r="A483" t="s">
        <v>1886</v>
      </c>
      <c r="B483" t="s">
        <v>28</v>
      </c>
      <c r="C483" t="s">
        <v>1973</v>
      </c>
      <c r="D483" t="s">
        <v>758</v>
      </c>
      <c r="E483" t="s">
        <v>1974</v>
      </c>
      <c r="F483" t="s">
        <v>17</v>
      </c>
      <c r="G483" t="s">
        <v>12</v>
      </c>
      <c r="H483">
        <f>67817*(1.01^10)</f>
        <v>74912.158679011671</v>
      </c>
      <c r="I483">
        <f>362582*(1.01^10)</f>
        <v>400516.09947584546</v>
      </c>
      <c r="J483" t="s">
        <v>1975</v>
      </c>
      <c r="K483">
        <f t="shared" si="7"/>
        <v>181.29812267145937</v>
      </c>
    </row>
    <row r="484" spans="1:11" x14ac:dyDescent="0.2">
      <c r="A484" t="s">
        <v>1886</v>
      </c>
      <c r="B484" t="s">
        <v>28</v>
      </c>
      <c r="C484" t="s">
        <v>1976</v>
      </c>
      <c r="D484" t="s">
        <v>1977</v>
      </c>
      <c r="E484" t="s">
        <v>407</v>
      </c>
      <c r="F484" t="s">
        <v>108</v>
      </c>
      <c r="G484" t="s">
        <v>12</v>
      </c>
      <c r="H484">
        <f>63830*(1.01^10)</f>
        <v>70508.0302649972</v>
      </c>
      <c r="I484">
        <f>382474*(1.01^10)</f>
        <v>422489.24279452511</v>
      </c>
      <c r="J484" t="s">
        <v>1978</v>
      </c>
      <c r="K484">
        <f t="shared" si="7"/>
        <v>110.25011147644933</v>
      </c>
    </row>
    <row r="485" spans="1:11" x14ac:dyDescent="0.2">
      <c r="A485" t="s">
        <v>1886</v>
      </c>
      <c r="B485" t="s">
        <v>28</v>
      </c>
      <c r="C485" t="s">
        <v>1979</v>
      </c>
      <c r="D485" t="s">
        <v>1980</v>
      </c>
      <c r="E485" t="s">
        <v>626</v>
      </c>
      <c r="F485" t="s">
        <v>24</v>
      </c>
      <c r="G485" t="s">
        <v>17</v>
      </c>
      <c r="H485">
        <f>53801*(1.01^10)</f>
        <v>59429.774969248225</v>
      </c>
      <c r="I485">
        <f>310562*(1.01^10)</f>
        <v>343053.65651195456</v>
      </c>
      <c r="J485" t="s">
        <v>1981</v>
      </c>
      <c r="K485">
        <f t="shared" si="7"/>
        <v>213.46037411547263</v>
      </c>
    </row>
    <row r="486" spans="1:11" x14ac:dyDescent="0.2">
      <c r="A486" t="s">
        <v>1886</v>
      </c>
      <c r="B486" t="s">
        <v>28</v>
      </c>
      <c r="C486" t="s">
        <v>1982</v>
      </c>
      <c r="D486" t="s">
        <v>1983</v>
      </c>
      <c r="E486" t="s">
        <v>368</v>
      </c>
      <c r="F486" t="s">
        <v>12</v>
      </c>
      <c r="G486" t="s">
        <v>17</v>
      </c>
      <c r="H486">
        <f>49107*(1.01^10)</f>
        <v>54244.678712568035</v>
      </c>
      <c r="I486">
        <f>292059*(1.01^10)</f>
        <v>322614.83332547103</v>
      </c>
      <c r="J486" t="s">
        <v>1984</v>
      </c>
      <c r="K486">
        <f t="shared" si="7"/>
        <v>190.59910839963919</v>
      </c>
    </row>
    <row r="487" spans="1:11" x14ac:dyDescent="0.2">
      <c r="A487" t="s">
        <v>1886</v>
      </c>
      <c r="B487" t="s">
        <v>28</v>
      </c>
      <c r="C487" t="s">
        <v>1985</v>
      </c>
      <c r="D487" t="s">
        <v>1986</v>
      </c>
      <c r="E487" t="s">
        <v>151</v>
      </c>
      <c r="F487" t="s">
        <v>12</v>
      </c>
      <c r="G487" t="s">
        <v>11</v>
      </c>
      <c r="H487">
        <f>77167*(1.01^10)</f>
        <v>85240.375551606441</v>
      </c>
      <c r="I487">
        <f>480039*(1.01^10)</f>
        <v>530261.70046026935</v>
      </c>
      <c r="J487" t="s">
        <v>1987</v>
      </c>
      <c r="K487">
        <f t="shared" si="7"/>
        <v>197.1601811719982</v>
      </c>
    </row>
    <row r="488" spans="1:11" x14ac:dyDescent="0.2">
      <c r="A488" t="s">
        <v>1886</v>
      </c>
      <c r="B488" t="s">
        <v>489</v>
      </c>
      <c r="C488" t="s">
        <v>1988</v>
      </c>
      <c r="D488" t="s">
        <v>1989</v>
      </c>
      <c r="E488" t="s">
        <v>1990</v>
      </c>
      <c r="F488" t="s">
        <v>12</v>
      </c>
      <c r="G488" t="s">
        <v>6</v>
      </c>
      <c r="H488">
        <f>96112*(1.01^10)</f>
        <v>106167.44171752171</v>
      </c>
      <c r="I488">
        <f>538174*(1.01^10)</f>
        <v>594478.90772104973</v>
      </c>
      <c r="J488" t="s">
        <v>1991</v>
      </c>
      <c r="K488">
        <f t="shared" si="7"/>
        <v>367.20859964499095</v>
      </c>
    </row>
    <row r="489" spans="1:11" x14ac:dyDescent="0.2">
      <c r="A489" t="s">
        <v>1886</v>
      </c>
      <c r="B489" t="s">
        <v>489</v>
      </c>
      <c r="C489" t="s">
        <v>1992</v>
      </c>
      <c r="D489" t="s">
        <v>1993</v>
      </c>
      <c r="E489" t="s">
        <v>1994</v>
      </c>
      <c r="F489" t="s">
        <v>24</v>
      </c>
      <c r="G489" t="s">
        <v>5</v>
      </c>
      <c r="H489">
        <f>86817*(1.01^10)</f>
        <v>95899.979061824561</v>
      </c>
      <c r="I489">
        <f>476087*(1.01^10)</f>
        <v>525896.23382064421</v>
      </c>
      <c r="J489" t="s">
        <v>1995</v>
      </c>
      <c r="K489">
        <f t="shared" si="7"/>
        <v>402.29050908943236</v>
      </c>
    </row>
    <row r="490" spans="1:11" x14ac:dyDescent="0.2">
      <c r="A490" t="s">
        <v>1886</v>
      </c>
      <c r="B490" t="s">
        <v>489</v>
      </c>
      <c r="C490" t="s">
        <v>1997</v>
      </c>
      <c r="D490" t="s">
        <v>1998</v>
      </c>
      <c r="E490" t="s">
        <v>771</v>
      </c>
      <c r="F490" t="s">
        <v>24</v>
      </c>
      <c r="G490" t="s">
        <v>12</v>
      </c>
      <c r="H490">
        <f>42662*(1.01^10)</f>
        <v>47125.389114292819</v>
      </c>
      <c r="I490">
        <f>223405*(1.01^10)</f>
        <v>246778.10592749019</v>
      </c>
      <c r="J490" t="s">
        <v>1999</v>
      </c>
      <c r="K490">
        <f t="shared" si="7"/>
        <v>380.56081411717309</v>
      </c>
    </row>
    <row r="491" spans="1:11" x14ac:dyDescent="0.2">
      <c r="A491" t="s">
        <v>1886</v>
      </c>
      <c r="B491" t="s">
        <v>489</v>
      </c>
      <c r="C491" t="s">
        <v>2000</v>
      </c>
      <c r="D491" t="s">
        <v>2001</v>
      </c>
      <c r="E491" t="s">
        <v>489</v>
      </c>
      <c r="F491" t="s">
        <v>24</v>
      </c>
      <c r="G491" t="s">
        <v>11</v>
      </c>
      <c r="H491">
        <f>50382*(1.01^10)</f>
        <v>55653.071922467316</v>
      </c>
      <c r="I491">
        <f>277946*(1.01^10)</f>
        <v>307025.30126954272</v>
      </c>
      <c r="J491" t="s">
        <v>2002</v>
      </c>
      <c r="K491">
        <f t="shared" si="7"/>
        <v>377.85816885380183</v>
      </c>
    </row>
    <row r="492" spans="1:11" x14ac:dyDescent="0.2">
      <c r="A492" t="s">
        <v>1886</v>
      </c>
      <c r="B492" t="s">
        <v>489</v>
      </c>
      <c r="C492" t="s">
        <v>2004</v>
      </c>
      <c r="D492" t="s">
        <v>2005</v>
      </c>
      <c r="E492" t="s">
        <v>626</v>
      </c>
      <c r="F492" t="s">
        <v>24</v>
      </c>
      <c r="G492" t="s">
        <v>17</v>
      </c>
      <c r="H492">
        <f>56430*(1.01^10)</f>
        <v>62333.826536954286</v>
      </c>
      <c r="I492">
        <f>326663*(1.01^10)</f>
        <v>360839.17735320039</v>
      </c>
      <c r="J492" t="s">
        <v>2006</v>
      </c>
      <c r="K492">
        <f t="shared" si="7"/>
        <v>522.66236448316545</v>
      </c>
    </row>
    <row r="493" spans="1:11" x14ac:dyDescent="0.2">
      <c r="A493" t="s">
        <v>1886</v>
      </c>
      <c r="B493" t="s">
        <v>489</v>
      </c>
      <c r="C493" t="s">
        <v>2008</v>
      </c>
      <c r="D493" t="s">
        <v>2009</v>
      </c>
      <c r="E493" t="s">
        <v>172</v>
      </c>
      <c r="F493" t="s">
        <v>24</v>
      </c>
      <c r="G493" t="s">
        <v>12</v>
      </c>
      <c r="H493">
        <f>51794*(1.01^10)</f>
        <v>57212.79836354794</v>
      </c>
      <c r="I493">
        <f>294770*(1.01^10)</f>
        <v>325609.4639074608</v>
      </c>
      <c r="J493" t="s">
        <v>2010</v>
      </c>
      <c r="K493">
        <f t="shared" si="7"/>
        <v>382.87368949172998</v>
      </c>
    </row>
    <row r="494" spans="1:11" x14ac:dyDescent="0.2">
      <c r="A494" t="s">
        <v>1886</v>
      </c>
      <c r="B494" t="s">
        <v>40</v>
      </c>
      <c r="C494" t="s">
        <v>2011</v>
      </c>
      <c r="D494" t="s">
        <v>2012</v>
      </c>
      <c r="E494" t="s">
        <v>123</v>
      </c>
      <c r="F494" t="s">
        <v>12</v>
      </c>
      <c r="G494" t="s">
        <v>11</v>
      </c>
      <c r="H494">
        <f>64953*(1.01^10)</f>
        <v>71748.520911833984</v>
      </c>
      <c r="I494">
        <f>359248*(1.01^10)</f>
        <v>396833.28930972447</v>
      </c>
      <c r="J494" t="s">
        <v>2013</v>
      </c>
      <c r="K494">
        <f t="shared" si="7"/>
        <v>535.0095791745016</v>
      </c>
    </row>
    <row r="495" spans="1:11" x14ac:dyDescent="0.2">
      <c r="A495" t="s">
        <v>1886</v>
      </c>
      <c r="B495" t="s">
        <v>40</v>
      </c>
      <c r="C495" t="s">
        <v>2015</v>
      </c>
      <c r="D495" t="s">
        <v>2016</v>
      </c>
      <c r="E495" t="s">
        <v>568</v>
      </c>
      <c r="F495" t="s">
        <v>24</v>
      </c>
      <c r="G495" t="s">
        <v>24</v>
      </c>
      <c r="H495">
        <f>40858*(1.01^10)</f>
        <v>45132.650800051</v>
      </c>
      <c r="I495">
        <f>231628*(1.01^10)</f>
        <v>255861.41366474653</v>
      </c>
      <c r="J495" t="s">
        <v>2017</v>
      </c>
      <c r="K495">
        <f t="shared" si="7"/>
        <v>448.42592632337943</v>
      </c>
    </row>
    <row r="496" spans="1:11" x14ac:dyDescent="0.2">
      <c r="A496" t="s">
        <v>1886</v>
      </c>
      <c r="B496" t="s">
        <v>40</v>
      </c>
      <c r="C496" t="s">
        <v>2018</v>
      </c>
      <c r="D496" t="s">
        <v>2019</v>
      </c>
      <c r="E496" t="s">
        <v>315</v>
      </c>
      <c r="F496" t="s">
        <v>12</v>
      </c>
      <c r="G496" t="s">
        <v>24</v>
      </c>
      <c r="H496">
        <f>24201*(1.01^10)</f>
        <v>26732.960057076565</v>
      </c>
      <c r="I496">
        <f>137339*(1.01^10)</f>
        <v>151707.69808184946</v>
      </c>
      <c r="J496" t="s">
        <v>2020</v>
      </c>
      <c r="K496">
        <f t="shared" si="7"/>
        <v>446.7104476326985</v>
      </c>
    </row>
    <row r="497" spans="1:11" x14ac:dyDescent="0.2">
      <c r="A497" t="s">
        <v>1886</v>
      </c>
      <c r="B497" t="s">
        <v>40</v>
      </c>
      <c r="C497" t="s">
        <v>2021</v>
      </c>
      <c r="D497" t="s">
        <v>2022</v>
      </c>
      <c r="E497" t="s">
        <v>236</v>
      </c>
      <c r="F497" t="s">
        <v>5</v>
      </c>
      <c r="G497" t="s">
        <v>11</v>
      </c>
      <c r="H497">
        <f>72272*(1.01^10)</f>
        <v>79833.250247718592</v>
      </c>
      <c r="I497">
        <f>396575*(1.01^10)</f>
        <v>438065.51938494854</v>
      </c>
      <c r="J497" t="s">
        <v>2023</v>
      </c>
      <c r="K497">
        <f t="shared" si="7"/>
        <v>625.13435707662688</v>
      </c>
    </row>
    <row r="498" spans="1:11" x14ac:dyDescent="0.2">
      <c r="A498" t="s">
        <v>1886</v>
      </c>
      <c r="B498" t="s">
        <v>40</v>
      </c>
      <c r="C498" t="s">
        <v>2024</v>
      </c>
      <c r="D498" t="s">
        <v>2025</v>
      </c>
      <c r="E498" t="s">
        <v>1944</v>
      </c>
      <c r="F498" t="s">
        <v>11</v>
      </c>
      <c r="G498" t="s">
        <v>17</v>
      </c>
      <c r="H498">
        <f>34141*(1.01^10)</f>
        <v>37712.903983663942</v>
      </c>
      <c r="I498">
        <f>201279*(1.01^10)</f>
        <v>222337.23678064189</v>
      </c>
      <c r="J498" t="s">
        <v>2026</v>
      </c>
      <c r="K498">
        <f t="shared" si="7"/>
        <v>564.89251045917456</v>
      </c>
    </row>
    <row r="499" spans="1:11" x14ac:dyDescent="0.2">
      <c r="A499" t="s">
        <v>1886</v>
      </c>
      <c r="B499" t="s">
        <v>40</v>
      </c>
      <c r="C499" t="s">
        <v>2028</v>
      </c>
      <c r="D499" t="s">
        <v>2029</v>
      </c>
      <c r="E499" t="s">
        <v>418</v>
      </c>
      <c r="F499" t="s">
        <v>24</v>
      </c>
      <c r="G499" t="s">
        <v>12</v>
      </c>
      <c r="H499">
        <f>42432*(1.01^10)</f>
        <v>46871.326025448237</v>
      </c>
      <c r="I499">
        <f>256605*(1.01^10)</f>
        <v>283451.56049114221</v>
      </c>
      <c r="J499" t="s">
        <v>895</v>
      </c>
      <c r="K499">
        <f t="shared" si="7"/>
        <v>419.30704214666008</v>
      </c>
    </row>
    <row r="500" spans="1:11" x14ac:dyDescent="0.2">
      <c r="A500" t="s">
        <v>1886</v>
      </c>
      <c r="B500" t="s">
        <v>40</v>
      </c>
      <c r="C500" t="s">
        <v>2030</v>
      </c>
      <c r="D500" t="s">
        <v>2031</v>
      </c>
      <c r="E500" t="s">
        <v>444</v>
      </c>
      <c r="F500" t="s">
        <v>17</v>
      </c>
      <c r="G500" t="s">
        <v>5</v>
      </c>
      <c r="H500">
        <f>127212*(1.01^10)</f>
        <v>140521.18981781017</v>
      </c>
      <c r="I500">
        <f>703856*(1.01^10)</f>
        <v>777494.9107034289</v>
      </c>
      <c r="J500" t="s">
        <v>2032</v>
      </c>
      <c r="K500">
        <f t="shared" si="7"/>
        <v>647.05761241847085</v>
      </c>
    </row>
    <row r="501" spans="1:11" x14ac:dyDescent="0.2">
      <c r="A501" t="s">
        <v>1886</v>
      </c>
      <c r="B501" t="s">
        <v>40</v>
      </c>
      <c r="C501" t="s">
        <v>2034</v>
      </c>
      <c r="D501" t="s">
        <v>2035</v>
      </c>
      <c r="E501" t="s">
        <v>1282</v>
      </c>
      <c r="F501" t="s">
        <v>24</v>
      </c>
      <c r="G501" t="s">
        <v>24</v>
      </c>
      <c r="H501">
        <f>44071*(1.01^10)</f>
        <v>48681.801688997206</v>
      </c>
      <c r="I501">
        <f>263663*(1.01^10)</f>
        <v>291247.98345229449</v>
      </c>
      <c r="J501" t="s">
        <v>2036</v>
      </c>
      <c r="K501">
        <f t="shared" si="7"/>
        <v>414.86188509873858</v>
      </c>
    </row>
    <row r="502" spans="1:11" x14ac:dyDescent="0.2">
      <c r="A502" t="s">
        <v>1886</v>
      </c>
      <c r="B502" t="s">
        <v>40</v>
      </c>
      <c r="C502" t="s">
        <v>2037</v>
      </c>
      <c r="D502" t="s">
        <v>2038</v>
      </c>
      <c r="E502" t="s">
        <v>151</v>
      </c>
      <c r="F502" t="s">
        <v>382</v>
      </c>
      <c r="G502" t="s">
        <v>24</v>
      </c>
      <c r="H502">
        <f>39373*(1.01^10)</f>
        <v>43492.286943815365</v>
      </c>
      <c r="I502">
        <f>233395*(1.01^10)</f>
        <v>257813.28096034814</v>
      </c>
      <c r="J502" t="s">
        <v>2039</v>
      </c>
      <c r="K502">
        <f t="shared" si="7"/>
        <v>313.49551394012366</v>
      </c>
    </row>
    <row r="503" spans="1:11" x14ac:dyDescent="0.2">
      <c r="A503" t="s">
        <v>1886</v>
      </c>
      <c r="B503" t="s">
        <v>40</v>
      </c>
      <c r="C503" t="s">
        <v>2040</v>
      </c>
      <c r="D503" t="s">
        <v>758</v>
      </c>
      <c r="E503" t="s">
        <v>1946</v>
      </c>
      <c r="F503" t="s">
        <v>152</v>
      </c>
      <c r="G503" t="s">
        <v>12</v>
      </c>
      <c r="H503">
        <f>62123*(1.01^10)</f>
        <v>68622.440296920278</v>
      </c>
      <c r="I503">
        <f>356727*(1.01^10)</f>
        <v>394048.53693156282</v>
      </c>
      <c r="J503" t="s">
        <v>2041</v>
      </c>
      <c r="K503">
        <f t="shared" si="7"/>
        <v>326.12806867760906</v>
      </c>
    </row>
    <row r="504" spans="1:11" x14ac:dyDescent="0.2">
      <c r="A504" t="s">
        <v>1886</v>
      </c>
      <c r="B504" t="s">
        <v>40</v>
      </c>
      <c r="C504" t="s">
        <v>2042</v>
      </c>
      <c r="D504" t="s">
        <v>2043</v>
      </c>
      <c r="E504" t="s">
        <v>608</v>
      </c>
      <c r="F504" t="s">
        <v>12</v>
      </c>
      <c r="G504" t="s">
        <v>12</v>
      </c>
      <c r="H504">
        <f>47033*(1.01^10)</f>
        <v>51953.692424465196</v>
      </c>
      <c r="I504">
        <f>288671*(1.01^10)</f>
        <v>318872.37356457789</v>
      </c>
      <c r="J504" t="s">
        <v>2044</v>
      </c>
      <c r="K504">
        <f t="shared" si="7"/>
        <v>620.37426763536553</v>
      </c>
    </row>
    <row r="505" spans="1:11" x14ac:dyDescent="0.2">
      <c r="A505" t="s">
        <v>1886</v>
      </c>
      <c r="B505" t="s">
        <v>40</v>
      </c>
      <c r="C505" t="s">
        <v>2046</v>
      </c>
      <c r="D505" t="s">
        <v>2047</v>
      </c>
      <c r="E505" t="s">
        <v>453</v>
      </c>
      <c r="F505" t="s">
        <v>12</v>
      </c>
      <c r="G505" t="s">
        <v>12</v>
      </c>
      <c r="H505">
        <f>41051*(1.01^10)</f>
        <v>45345.842870255365</v>
      </c>
      <c r="I505">
        <f>245193*(1.01^10)</f>
        <v>270845.61279594951</v>
      </c>
      <c r="J505" t="s">
        <v>2048</v>
      </c>
      <c r="K505">
        <f t="shared" si="7"/>
        <v>531.87809702525988</v>
      </c>
    </row>
    <row r="506" spans="1:11" x14ac:dyDescent="0.2">
      <c r="A506" t="s">
        <v>1886</v>
      </c>
      <c r="B506" t="s">
        <v>1002</v>
      </c>
      <c r="C506" t="s">
        <v>2050</v>
      </c>
      <c r="D506" t="s">
        <v>2051</v>
      </c>
      <c r="E506" t="s">
        <v>390</v>
      </c>
      <c r="F506" t="s">
        <v>5</v>
      </c>
      <c r="G506" t="s">
        <v>24</v>
      </c>
      <c r="H506">
        <f>30164*(1.01^10)</f>
        <v>33319.821790903581</v>
      </c>
      <c r="I506">
        <f>198897*(1.01^10)</f>
        <v>219706.0268779124</v>
      </c>
      <c r="J506" t="s">
        <v>2052</v>
      </c>
      <c r="K506">
        <f t="shared" si="7"/>
        <v>567.97750580820048</v>
      </c>
    </row>
    <row r="507" spans="1:11" x14ac:dyDescent="0.2">
      <c r="A507" t="s">
        <v>1886</v>
      </c>
      <c r="B507" t="s">
        <v>1002</v>
      </c>
      <c r="C507" t="s">
        <v>2053</v>
      </c>
      <c r="D507" t="s">
        <v>2054</v>
      </c>
      <c r="E507" t="s">
        <v>503</v>
      </c>
      <c r="F507" t="s">
        <v>318</v>
      </c>
      <c r="G507" t="s">
        <v>12</v>
      </c>
      <c r="H507">
        <f>32797*(1.01^10)</f>
        <v>36228.291847111279</v>
      </c>
      <c r="I507">
        <f>203949*(1.01^10)</f>
        <v>225286.5778554898</v>
      </c>
      <c r="J507" t="s">
        <v>2055</v>
      </c>
      <c r="K507">
        <f t="shared" si="7"/>
        <v>629.27127074721022</v>
      </c>
    </row>
    <row r="508" spans="1:11" x14ac:dyDescent="0.2">
      <c r="A508" t="s">
        <v>1886</v>
      </c>
      <c r="B508" t="s">
        <v>1002</v>
      </c>
      <c r="C508" t="s">
        <v>2057</v>
      </c>
      <c r="D508" t="s">
        <v>2058</v>
      </c>
      <c r="E508" t="s">
        <v>1401</v>
      </c>
      <c r="F508" t="s">
        <v>6</v>
      </c>
      <c r="G508" t="s">
        <v>12</v>
      </c>
      <c r="H508">
        <f>38246*(1.01^10)</f>
        <v>42247.377808476936</v>
      </c>
      <c r="I508">
        <f>241858*(1.01^10)</f>
        <v>267161.69800770318</v>
      </c>
      <c r="J508" t="s">
        <v>2059</v>
      </c>
      <c r="K508">
        <f t="shared" si="7"/>
        <v>564.96989572385257</v>
      </c>
    </row>
    <row r="509" spans="1:11" x14ac:dyDescent="0.2">
      <c r="A509" t="s">
        <v>1886</v>
      </c>
      <c r="B509" t="s">
        <v>1002</v>
      </c>
      <c r="C509" t="s">
        <v>2060</v>
      </c>
      <c r="D509" t="s">
        <v>2061</v>
      </c>
      <c r="E509" t="s">
        <v>1912</v>
      </c>
      <c r="F509" t="s">
        <v>152</v>
      </c>
      <c r="G509" t="s">
        <v>12</v>
      </c>
      <c r="H509">
        <f>38091*(1.01^10)</f>
        <v>42076.161379038203</v>
      </c>
      <c r="I509">
        <f>226710*(1.01^10)</f>
        <v>250428.88205197421</v>
      </c>
      <c r="J509" t="s">
        <v>2062</v>
      </c>
      <c r="K509">
        <f t="shared" si="7"/>
        <v>495.47416032955937</v>
      </c>
    </row>
    <row r="510" spans="1:11" x14ac:dyDescent="0.2">
      <c r="A510" t="s">
        <v>1886</v>
      </c>
      <c r="B510" t="s">
        <v>1002</v>
      </c>
      <c r="C510" t="s">
        <v>2063</v>
      </c>
      <c r="D510" t="s">
        <v>2064</v>
      </c>
      <c r="E510" t="s">
        <v>399</v>
      </c>
      <c r="F510" t="s">
        <v>5</v>
      </c>
      <c r="G510" t="s">
        <v>12</v>
      </c>
      <c r="H510">
        <f>35799*(1.01^10)</f>
        <v>39544.367467595715</v>
      </c>
      <c r="I510">
        <f>215136*(1.01^10)</f>
        <v>237643.98557246494</v>
      </c>
      <c r="J510" t="s">
        <v>2065</v>
      </c>
      <c r="K510">
        <f t="shared" si="7"/>
        <v>531.66208627918184</v>
      </c>
    </row>
    <row r="511" spans="1:11" x14ac:dyDescent="0.2">
      <c r="A511" t="s">
        <v>1886</v>
      </c>
      <c r="B511" t="s">
        <v>1002</v>
      </c>
      <c r="C511" t="s">
        <v>2066</v>
      </c>
      <c r="D511" t="s">
        <v>2067</v>
      </c>
      <c r="E511" t="s">
        <v>1912</v>
      </c>
      <c r="F511" t="s">
        <v>158</v>
      </c>
      <c r="G511" t="s">
        <v>12</v>
      </c>
      <c r="H511">
        <f>33617*(1.01^10)</f>
        <v>37134.08198994847</v>
      </c>
      <c r="I511">
        <f>201341*(1.01^10)</f>
        <v>222405.72335241738</v>
      </c>
      <c r="J511" t="s">
        <v>2068</v>
      </c>
      <c r="K511">
        <f t="shared" si="7"/>
        <v>495.48917881890924</v>
      </c>
    </row>
    <row r="512" spans="1:11" x14ac:dyDescent="0.2">
      <c r="A512" t="s">
        <v>1886</v>
      </c>
      <c r="B512" t="s">
        <v>1002</v>
      </c>
      <c r="C512" t="s">
        <v>2069</v>
      </c>
      <c r="D512" t="s">
        <v>2070</v>
      </c>
      <c r="E512" t="s">
        <v>676</v>
      </c>
      <c r="F512" t="s">
        <v>445</v>
      </c>
      <c r="G512" t="s">
        <v>12</v>
      </c>
      <c r="H512">
        <f>78940*(1.01^10)</f>
        <v>87198.870579960509</v>
      </c>
      <c r="I512">
        <f>453015*(1.01^10)</f>
        <v>500410.3921431569</v>
      </c>
      <c r="J512" t="s">
        <v>2071</v>
      </c>
      <c r="K512">
        <f t="shared" si="7"/>
        <v>997.84622675113917</v>
      </c>
    </row>
    <row r="513" spans="1:11" x14ac:dyDescent="0.2">
      <c r="A513" t="s">
        <v>1886</v>
      </c>
      <c r="B513" t="s">
        <v>1002</v>
      </c>
      <c r="C513" t="s">
        <v>2072</v>
      </c>
      <c r="D513" t="s">
        <v>2073</v>
      </c>
      <c r="E513" t="s">
        <v>1446</v>
      </c>
      <c r="F513" t="s">
        <v>92</v>
      </c>
      <c r="G513" t="s">
        <v>17</v>
      </c>
      <c r="H513">
        <f>47485*(1.01^10)</f>
        <v>52452.981625151057</v>
      </c>
      <c r="I513">
        <f>280092*(1.01^10)</f>
        <v>309395.82035067515</v>
      </c>
      <c r="J513" t="s">
        <v>2074</v>
      </c>
      <c r="K513">
        <f t="shared" si="7"/>
        <v>510.18506219201879</v>
      </c>
    </row>
    <row r="514" spans="1:11" x14ac:dyDescent="0.2">
      <c r="A514" t="s">
        <v>1886</v>
      </c>
      <c r="B514" t="s">
        <v>1002</v>
      </c>
      <c r="C514" t="s">
        <v>2076</v>
      </c>
      <c r="D514" t="s">
        <v>2077</v>
      </c>
      <c r="E514" t="s">
        <v>1227</v>
      </c>
      <c r="F514" t="s">
        <v>458</v>
      </c>
      <c r="G514" t="s">
        <v>17</v>
      </c>
      <c r="H514">
        <f>46367*(1.01^10)</f>
        <v>51218.014088941331</v>
      </c>
      <c r="I514">
        <f>269512*(1.01^10)</f>
        <v>297708.9182638246</v>
      </c>
      <c r="J514" t="s">
        <v>2078</v>
      </c>
      <c r="K514">
        <f t="shared" si="7"/>
        <v>382.38359921361797</v>
      </c>
    </row>
    <row r="515" spans="1:11" x14ac:dyDescent="0.2">
      <c r="A515" t="s">
        <v>1886</v>
      </c>
      <c r="B515" t="s">
        <v>1002</v>
      </c>
      <c r="C515" t="s">
        <v>2080</v>
      </c>
      <c r="D515" t="s">
        <v>2081</v>
      </c>
      <c r="E515" t="s">
        <v>413</v>
      </c>
      <c r="F515" t="s">
        <v>458</v>
      </c>
      <c r="G515" t="s">
        <v>24</v>
      </c>
      <c r="H515">
        <f>43908*(1.01^10)</f>
        <v>48501.748282555178</v>
      </c>
      <c r="I515">
        <f>257952*(1.01^10)</f>
        <v>284939.48649407108</v>
      </c>
      <c r="J515" t="s">
        <v>2082</v>
      </c>
      <c r="K515">
        <f t="shared" ref="K515:K578" si="8">I515/J515</f>
        <v>508.33806423157984</v>
      </c>
    </row>
    <row r="516" spans="1:11" x14ac:dyDescent="0.2">
      <c r="A516" t="s">
        <v>1886</v>
      </c>
      <c r="B516" t="s">
        <v>1549</v>
      </c>
      <c r="C516" t="s">
        <v>2083</v>
      </c>
      <c r="D516" t="s">
        <v>2084</v>
      </c>
      <c r="E516" t="s">
        <v>352</v>
      </c>
      <c r="F516" t="s">
        <v>158</v>
      </c>
      <c r="G516" t="s">
        <v>12</v>
      </c>
      <c r="H516">
        <f>41705*(1.01^10)</f>
        <v>46068.265740274292</v>
      </c>
      <c r="I516">
        <f>244774*(1.01^10)</f>
        <v>270382.77612540225</v>
      </c>
      <c r="J516" t="s">
        <v>2085</v>
      </c>
      <c r="K516">
        <f t="shared" si="8"/>
        <v>270.39775509923118</v>
      </c>
    </row>
    <row r="517" spans="1:11" x14ac:dyDescent="0.2">
      <c r="A517" t="s">
        <v>1886</v>
      </c>
      <c r="B517" t="s">
        <v>1549</v>
      </c>
      <c r="C517" t="s">
        <v>2086</v>
      </c>
      <c r="D517" t="s">
        <v>2087</v>
      </c>
      <c r="E517" t="s">
        <v>982</v>
      </c>
      <c r="F517" t="s">
        <v>92</v>
      </c>
      <c r="G517" t="s">
        <v>12</v>
      </c>
      <c r="H517">
        <f>41236*(1.01^10)</f>
        <v>45550.197963456441</v>
      </c>
      <c r="I517">
        <f>245650*(1.01^10)</f>
        <v>271350.42510726245</v>
      </c>
      <c r="J517" t="s">
        <v>2088</v>
      </c>
      <c r="K517">
        <f t="shared" si="8"/>
        <v>341.84957739113912</v>
      </c>
    </row>
    <row r="518" spans="1:11" x14ac:dyDescent="0.2">
      <c r="A518" t="s">
        <v>1886</v>
      </c>
      <c r="B518" t="s">
        <v>1549</v>
      </c>
      <c r="C518" t="s">
        <v>2089</v>
      </c>
      <c r="D518" t="s">
        <v>2090</v>
      </c>
      <c r="E518" t="s">
        <v>1576</v>
      </c>
      <c r="F518" t="s">
        <v>12</v>
      </c>
      <c r="G518" t="s">
        <v>24</v>
      </c>
      <c r="H518">
        <f>31955*(1.01^10)</f>
        <v>35298.200017515046</v>
      </c>
      <c r="I518">
        <f>191079*(1.01^10)</f>
        <v>211070.09110144759</v>
      </c>
      <c r="J518" t="s">
        <v>2091</v>
      </c>
      <c r="K518">
        <f t="shared" si="8"/>
        <v>675.68615261737591</v>
      </c>
    </row>
    <row r="519" spans="1:11" x14ac:dyDescent="0.2">
      <c r="A519" t="s">
        <v>1886</v>
      </c>
      <c r="B519" t="s">
        <v>1549</v>
      </c>
      <c r="C519" t="s">
        <v>2093</v>
      </c>
      <c r="D519" t="s">
        <v>2094</v>
      </c>
      <c r="E519" t="s">
        <v>444</v>
      </c>
      <c r="F519" t="s">
        <v>11</v>
      </c>
      <c r="G519" t="s">
        <v>12</v>
      </c>
      <c r="H519">
        <f>61709*(1.01^10)</f>
        <v>68165.126737000028</v>
      </c>
      <c r="I519">
        <f>361109*(1.01^10)</f>
        <v>398888.99108511471</v>
      </c>
      <c r="J519" t="s">
        <v>2095</v>
      </c>
      <c r="K519">
        <f t="shared" si="8"/>
        <v>761.62868756559487</v>
      </c>
    </row>
    <row r="520" spans="1:11" x14ac:dyDescent="0.2">
      <c r="A520" t="s">
        <v>1886</v>
      </c>
      <c r="B520" t="s">
        <v>1549</v>
      </c>
      <c r="C520" t="s">
        <v>2096</v>
      </c>
      <c r="D520" t="s">
        <v>2097</v>
      </c>
      <c r="E520" t="s">
        <v>436</v>
      </c>
      <c r="F520" t="s">
        <v>11</v>
      </c>
      <c r="G520" t="s">
        <v>12</v>
      </c>
      <c r="H520">
        <f>27149*(1.01^10)</f>
        <v>29989.386082788798</v>
      </c>
      <c r="I520">
        <f>163904*(1.01^10)</f>
        <v>181051.9848433981</v>
      </c>
      <c r="J520" t="s">
        <v>2098</v>
      </c>
      <c r="K520">
        <f t="shared" si="8"/>
        <v>449.05878212187736</v>
      </c>
    </row>
    <row r="521" spans="1:11" x14ac:dyDescent="0.2">
      <c r="A521" t="s">
        <v>1886</v>
      </c>
      <c r="B521" t="s">
        <v>1617</v>
      </c>
      <c r="C521" t="s">
        <v>2100</v>
      </c>
      <c r="D521" t="s">
        <v>2101</v>
      </c>
      <c r="E521" t="s">
        <v>1446</v>
      </c>
      <c r="F521" t="s">
        <v>11</v>
      </c>
      <c r="G521" t="s">
        <v>12</v>
      </c>
      <c r="H521">
        <f>43488*(1.01^10)</f>
        <v>48037.806989882469</v>
      </c>
      <c r="I521">
        <f>251180*(1.01^10)</f>
        <v>277458.98546078638</v>
      </c>
      <c r="J521" t="s">
        <v>2102</v>
      </c>
      <c r="K521">
        <f t="shared" si="8"/>
        <v>465.30970269665136</v>
      </c>
    </row>
    <row r="522" spans="1:11" x14ac:dyDescent="0.2">
      <c r="A522" t="s">
        <v>1886</v>
      </c>
      <c r="B522" t="s">
        <v>1617</v>
      </c>
      <c r="C522" t="s">
        <v>2104</v>
      </c>
      <c r="D522" t="s">
        <v>2105</v>
      </c>
      <c r="E522" t="s">
        <v>32</v>
      </c>
      <c r="F522" t="s">
        <v>405</v>
      </c>
      <c r="G522" t="s">
        <v>24</v>
      </c>
      <c r="H522">
        <f>28029*(1.01^10)</f>
        <v>30961.453553150659</v>
      </c>
      <c r="I522">
        <f>150898*(1.01^10)</f>
        <v>166685.26948029996</v>
      </c>
      <c r="J522" t="s">
        <v>2106</v>
      </c>
      <c r="K522">
        <f t="shared" si="8"/>
        <v>233.89120048358023</v>
      </c>
    </row>
    <row r="523" spans="1:11" x14ac:dyDescent="0.2">
      <c r="A523" t="s">
        <v>1886</v>
      </c>
      <c r="B523" t="s">
        <v>1617</v>
      </c>
      <c r="C523" t="s">
        <v>2107</v>
      </c>
      <c r="D523" t="s">
        <v>2108</v>
      </c>
      <c r="E523" t="s">
        <v>598</v>
      </c>
      <c r="F523" t="s">
        <v>92</v>
      </c>
      <c r="G523" t="s">
        <v>12</v>
      </c>
      <c r="H523">
        <f>74457*(1.01^10)</f>
        <v>82246.849591742066</v>
      </c>
      <c r="I523">
        <f>423874*(1.01^10)</f>
        <v>468220.598786549</v>
      </c>
      <c r="J523" t="s">
        <v>2109</v>
      </c>
      <c r="K523">
        <f t="shared" si="8"/>
        <v>668.3240896478394</v>
      </c>
    </row>
    <row r="524" spans="1:11" x14ac:dyDescent="0.2">
      <c r="A524" t="s">
        <v>1886</v>
      </c>
      <c r="B524" t="s">
        <v>1617</v>
      </c>
      <c r="C524" t="s">
        <v>2110</v>
      </c>
      <c r="D524" t="s">
        <v>2111</v>
      </c>
      <c r="E524" t="s">
        <v>144</v>
      </c>
      <c r="F524" t="s">
        <v>158</v>
      </c>
      <c r="G524" t="s">
        <v>12</v>
      </c>
      <c r="H524">
        <f>63290*(1.01^10)</f>
        <v>69911.534317275145</v>
      </c>
      <c r="I524">
        <f>349128*(1.01^10)</f>
        <v>385654.5134005631</v>
      </c>
      <c r="J524" t="s">
        <v>2112</v>
      </c>
      <c r="K524">
        <f t="shared" si="8"/>
        <v>278.70030727924239</v>
      </c>
    </row>
    <row r="525" spans="1:11" x14ac:dyDescent="0.2">
      <c r="A525" t="s">
        <v>1886</v>
      </c>
      <c r="B525" t="s">
        <v>1617</v>
      </c>
      <c r="C525" t="s">
        <v>2114</v>
      </c>
      <c r="D525" t="s">
        <v>2115</v>
      </c>
      <c r="E525" t="s">
        <v>542</v>
      </c>
      <c r="F525" t="s">
        <v>11</v>
      </c>
      <c r="G525" t="s">
        <v>24</v>
      </c>
      <c r="H525">
        <f>13785*(1.01^10)</f>
        <v>15227.215998793457</v>
      </c>
      <c r="I525">
        <f>74600*(1.01^10)</f>
        <v>82404.810555675867</v>
      </c>
      <c r="J525" t="s">
        <v>2116</v>
      </c>
      <c r="K525">
        <f t="shared" si="8"/>
        <v>130.20543441335676</v>
      </c>
    </row>
    <row r="526" spans="1:11" x14ac:dyDescent="0.2">
      <c r="A526" t="s">
        <v>1886</v>
      </c>
      <c r="B526" t="s">
        <v>1617</v>
      </c>
      <c r="C526" t="s">
        <v>2117</v>
      </c>
      <c r="D526" t="s">
        <v>2118</v>
      </c>
      <c r="E526" t="s">
        <v>806</v>
      </c>
      <c r="F526" t="s">
        <v>405</v>
      </c>
      <c r="G526" t="s">
        <v>12</v>
      </c>
      <c r="H526">
        <f>39454*(1.01^10)</f>
        <v>43581.761335973672</v>
      </c>
      <c r="I526">
        <f>208568*(1.01^10)</f>
        <v>230388.82745276415</v>
      </c>
      <c r="J526" t="s">
        <v>2119</v>
      </c>
      <c r="K526">
        <f t="shared" si="8"/>
        <v>153.81663087701986</v>
      </c>
    </row>
    <row r="527" spans="1:11" x14ac:dyDescent="0.2">
      <c r="A527" t="s">
        <v>1886</v>
      </c>
      <c r="B527" t="s">
        <v>1944</v>
      </c>
      <c r="C527" t="s">
        <v>2120</v>
      </c>
      <c r="D527" t="s">
        <v>2121</v>
      </c>
      <c r="E527" t="s">
        <v>4</v>
      </c>
      <c r="F527" t="s">
        <v>6</v>
      </c>
      <c r="G527" t="s">
        <v>17</v>
      </c>
      <c r="H527">
        <f>63010*(1.01^10)</f>
        <v>69602.240122160016</v>
      </c>
      <c r="I527">
        <f>346614*(1.01^10)</f>
        <v>382877.49337727932</v>
      </c>
      <c r="J527" t="s">
        <v>2122</v>
      </c>
      <c r="K527">
        <f t="shared" si="8"/>
        <v>669.6113757676078</v>
      </c>
    </row>
    <row r="528" spans="1:11" x14ac:dyDescent="0.2">
      <c r="A528" t="s">
        <v>1886</v>
      </c>
      <c r="B528" t="s">
        <v>1944</v>
      </c>
      <c r="C528" t="s">
        <v>2124</v>
      </c>
      <c r="D528" t="s">
        <v>2125</v>
      </c>
      <c r="E528" t="s">
        <v>784</v>
      </c>
      <c r="F528" t="s">
        <v>382</v>
      </c>
      <c r="G528" t="s">
        <v>24</v>
      </c>
      <c r="H528">
        <f>33005*(1.01^10)</f>
        <v>36458.053249196812</v>
      </c>
      <c r="I528">
        <f>171648*(1.01^10)</f>
        <v>189606.17858258248</v>
      </c>
      <c r="J528" t="s">
        <v>2126</v>
      </c>
      <c r="K528">
        <f t="shared" si="8"/>
        <v>289.4841729523294</v>
      </c>
    </row>
    <row r="529" spans="1:11" x14ac:dyDescent="0.2">
      <c r="A529" t="s">
        <v>1886</v>
      </c>
      <c r="B529" t="s">
        <v>1944</v>
      </c>
      <c r="C529" t="s">
        <v>2127</v>
      </c>
      <c r="D529" t="s">
        <v>2128</v>
      </c>
      <c r="E529" t="s">
        <v>264</v>
      </c>
      <c r="F529" t="s">
        <v>274</v>
      </c>
      <c r="G529" t="s">
        <v>24</v>
      </c>
      <c r="H529">
        <f>19654*(1.01^10)</f>
        <v>21710.243252831817</v>
      </c>
      <c r="I529">
        <f>105732*(1.01^10)</f>
        <v>116793.90656397751</v>
      </c>
      <c r="J529" t="s">
        <v>2129</v>
      </c>
      <c r="K529">
        <f t="shared" si="8"/>
        <v>342.35679221190605</v>
      </c>
    </row>
    <row r="530" spans="1:11" x14ac:dyDescent="0.2">
      <c r="A530" t="s">
        <v>1886</v>
      </c>
      <c r="B530" t="s">
        <v>1944</v>
      </c>
      <c r="C530" t="s">
        <v>2131</v>
      </c>
      <c r="D530" t="s">
        <v>2132</v>
      </c>
      <c r="E530" t="s">
        <v>1223</v>
      </c>
      <c r="F530" t="s">
        <v>158</v>
      </c>
      <c r="G530" t="s">
        <v>12</v>
      </c>
      <c r="H530">
        <f>26317*(1.01^10)</f>
        <v>29070.340474446675</v>
      </c>
      <c r="I530">
        <f>142741*(1.01^10)</f>
        <v>157674.86680332077</v>
      </c>
      <c r="J530" t="s">
        <v>2133</v>
      </c>
      <c r="K530">
        <f t="shared" si="8"/>
        <v>285.06011641579425</v>
      </c>
    </row>
    <row r="531" spans="1:11" x14ac:dyDescent="0.2">
      <c r="A531" t="s">
        <v>1886</v>
      </c>
      <c r="B531" t="s">
        <v>1944</v>
      </c>
      <c r="C531" t="s">
        <v>2134</v>
      </c>
      <c r="D531" t="s">
        <v>2135</v>
      </c>
      <c r="E531" t="s">
        <v>232</v>
      </c>
      <c r="F531" t="s">
        <v>12</v>
      </c>
      <c r="G531" t="s">
        <v>24</v>
      </c>
      <c r="H531">
        <f>19222*(1.01^10)</f>
        <v>21233.046494654176</v>
      </c>
      <c r="I531">
        <f>97500*(1.01^10)</f>
        <v>107700.65722759247</v>
      </c>
      <c r="J531" t="s">
        <v>2136</v>
      </c>
      <c r="K531">
        <f t="shared" si="8"/>
        <v>229.41138209557786</v>
      </c>
    </row>
    <row r="532" spans="1:11" x14ac:dyDescent="0.2">
      <c r="A532" t="s">
        <v>1886</v>
      </c>
      <c r="B532" t="s">
        <v>1944</v>
      </c>
      <c r="C532" t="s">
        <v>2137</v>
      </c>
      <c r="D532" t="s">
        <v>2138</v>
      </c>
      <c r="E532" t="s">
        <v>1282</v>
      </c>
      <c r="F532" t="s">
        <v>6</v>
      </c>
      <c r="G532" t="s">
        <v>12</v>
      </c>
      <c r="H532">
        <f>64649*(1.01^10)</f>
        <v>71412.715785708977</v>
      </c>
      <c r="I532">
        <f>334877*(1.01^10)</f>
        <v>369912.54349132802</v>
      </c>
      <c r="J532" t="s">
        <v>2139</v>
      </c>
      <c r="K532">
        <f t="shared" si="8"/>
        <v>376.4026500788666</v>
      </c>
    </row>
    <row r="533" spans="1:11" x14ac:dyDescent="0.2">
      <c r="A533" t="s">
        <v>1886</v>
      </c>
      <c r="B533" t="s">
        <v>1944</v>
      </c>
      <c r="C533" t="s">
        <v>2140</v>
      </c>
      <c r="D533" t="s">
        <v>2141</v>
      </c>
      <c r="E533" t="s">
        <v>282</v>
      </c>
      <c r="F533" t="s">
        <v>152</v>
      </c>
      <c r="G533" t="s">
        <v>24</v>
      </c>
      <c r="H533">
        <f>28859*(1.01^10)</f>
        <v>31878.289917241957</v>
      </c>
      <c r="I533">
        <f>136439*(1.01^10)</f>
        <v>150713.53816897937</v>
      </c>
      <c r="J533" t="s">
        <v>2142</v>
      </c>
      <c r="K533">
        <f t="shared" si="8"/>
        <v>162.97882608765073</v>
      </c>
    </row>
    <row r="534" spans="1:11" x14ac:dyDescent="0.2">
      <c r="A534" t="s">
        <v>1886</v>
      </c>
      <c r="B534" t="s">
        <v>626</v>
      </c>
      <c r="C534" t="s">
        <v>2143</v>
      </c>
      <c r="D534" t="s">
        <v>2144</v>
      </c>
      <c r="E534" t="s">
        <v>1689</v>
      </c>
      <c r="F534" t="s">
        <v>17</v>
      </c>
      <c r="G534" t="s">
        <v>12</v>
      </c>
      <c r="H534">
        <f>61990*(1.01^10)</f>
        <v>68475.525554240579</v>
      </c>
      <c r="I534">
        <f>338878*(1.01^10)</f>
        <v>374332.13661509822</v>
      </c>
      <c r="J534" t="s">
        <v>2145</v>
      </c>
      <c r="K534">
        <f t="shared" si="8"/>
        <v>588.80930495931761</v>
      </c>
    </row>
    <row r="535" spans="1:11" x14ac:dyDescent="0.2">
      <c r="A535" t="s">
        <v>1886</v>
      </c>
      <c r="B535" t="s">
        <v>626</v>
      </c>
      <c r="C535" t="s">
        <v>2146</v>
      </c>
      <c r="D535" t="s">
        <v>2147</v>
      </c>
      <c r="E535" t="s">
        <v>269</v>
      </c>
      <c r="F535" t="s">
        <v>24</v>
      </c>
      <c r="G535" t="s">
        <v>17</v>
      </c>
      <c r="H535">
        <f>46764*(1.01^10)</f>
        <v>51656.549072729576</v>
      </c>
      <c r="I535">
        <f>264667*(1.01^10)</f>
        <v>292357.02406620735</v>
      </c>
      <c r="J535" t="s">
        <v>2148</v>
      </c>
      <c r="K535">
        <f t="shared" si="8"/>
        <v>599.19939223684798</v>
      </c>
    </row>
    <row r="536" spans="1:11" x14ac:dyDescent="0.2">
      <c r="A536" t="s">
        <v>1886</v>
      </c>
      <c r="B536" t="s">
        <v>626</v>
      </c>
      <c r="C536" t="s">
        <v>2150</v>
      </c>
      <c r="D536" t="s">
        <v>2151</v>
      </c>
      <c r="E536" t="s">
        <v>679</v>
      </c>
      <c r="F536" t="s">
        <v>24</v>
      </c>
      <c r="G536" t="s">
        <v>24</v>
      </c>
      <c r="H536">
        <f>50010*(1.01^10)</f>
        <v>55242.152491814348</v>
      </c>
      <c r="I536">
        <f>260484*(1.01^10)</f>
        <v>287736.38971561228</v>
      </c>
      <c r="J536" t="s">
        <v>2152</v>
      </c>
      <c r="K536">
        <f t="shared" si="8"/>
        <v>559.02444575227707</v>
      </c>
    </row>
    <row r="537" spans="1:11" x14ac:dyDescent="0.2">
      <c r="A537" t="s">
        <v>1886</v>
      </c>
      <c r="B537" t="s">
        <v>626</v>
      </c>
      <c r="C537" t="s">
        <v>2154</v>
      </c>
      <c r="D537" t="s">
        <v>2155</v>
      </c>
      <c r="E537" t="s">
        <v>1298</v>
      </c>
      <c r="F537" t="s">
        <v>152</v>
      </c>
      <c r="G537" t="s">
        <v>12</v>
      </c>
      <c r="H537">
        <f>73131*(1.01^10)</f>
        <v>80782.120653446807</v>
      </c>
      <c r="I537">
        <f>420937*(1.01^10)</f>
        <v>464976.32360421628</v>
      </c>
      <c r="J537" t="s">
        <v>2156</v>
      </c>
      <c r="K537">
        <f t="shared" si="8"/>
        <v>503.51690649434642</v>
      </c>
    </row>
    <row r="538" spans="1:11" x14ac:dyDescent="0.2">
      <c r="A538" t="s">
        <v>1886</v>
      </c>
      <c r="B538" t="s">
        <v>626</v>
      </c>
      <c r="C538" t="s">
        <v>2157</v>
      </c>
      <c r="D538" t="s">
        <v>2158</v>
      </c>
      <c r="E538" t="s">
        <v>577</v>
      </c>
      <c r="F538" t="s">
        <v>422</v>
      </c>
      <c r="G538" t="s">
        <v>12</v>
      </c>
      <c r="H538">
        <f>60607*(1.01^10)</f>
        <v>66947.833154796885</v>
      </c>
      <c r="I538">
        <f>349443*(1.01^10)</f>
        <v>386002.46937006764</v>
      </c>
      <c r="J538" t="s">
        <v>2159</v>
      </c>
      <c r="K538">
        <f t="shared" si="8"/>
        <v>443.58797499127473</v>
      </c>
    </row>
    <row r="539" spans="1:11" x14ac:dyDescent="0.2">
      <c r="A539" t="s">
        <v>1886</v>
      </c>
      <c r="B539" t="s">
        <v>1303</v>
      </c>
      <c r="C539" t="s">
        <v>2160</v>
      </c>
      <c r="D539" t="s">
        <v>2161</v>
      </c>
      <c r="E539" t="s">
        <v>2162</v>
      </c>
      <c r="F539" t="s">
        <v>24</v>
      </c>
      <c r="G539" t="s">
        <v>12</v>
      </c>
      <c r="H539">
        <f>69470*(1.01^10)</f>
        <v>76738.099052316393</v>
      </c>
      <c r="I539">
        <f>413256*(1.01^10)</f>
        <v>456491.72105893283</v>
      </c>
      <c r="J539" t="s">
        <v>2163</v>
      </c>
      <c r="K539">
        <f t="shared" si="8"/>
        <v>562.82679279080435</v>
      </c>
    </row>
    <row r="540" spans="1:11" x14ac:dyDescent="0.2">
      <c r="A540" t="s">
        <v>1886</v>
      </c>
      <c r="B540" t="s">
        <v>1303</v>
      </c>
      <c r="C540" t="s">
        <v>2165</v>
      </c>
      <c r="D540" t="s">
        <v>2166</v>
      </c>
      <c r="E540" t="s">
        <v>977</v>
      </c>
      <c r="F540" t="s">
        <v>12</v>
      </c>
      <c r="G540" t="s">
        <v>12</v>
      </c>
      <c r="H540">
        <f>27318*(1.01^10)</f>
        <v>30176.067221983292</v>
      </c>
      <c r="I540">
        <f>166087*(1.01^10)</f>
        <v>183463.37494317075</v>
      </c>
      <c r="J540" t="s">
        <v>2167</v>
      </c>
      <c r="K540">
        <f t="shared" si="8"/>
        <v>379.90341720833766</v>
      </c>
    </row>
    <row r="541" spans="1:11" x14ac:dyDescent="0.2">
      <c r="A541" t="s">
        <v>1886</v>
      </c>
      <c r="B541" t="s">
        <v>1303</v>
      </c>
      <c r="C541" t="s">
        <v>2169</v>
      </c>
      <c r="D541" t="s">
        <v>2170</v>
      </c>
      <c r="E541" t="s">
        <v>977</v>
      </c>
      <c r="F541" t="s">
        <v>24</v>
      </c>
      <c r="G541" t="s">
        <v>17</v>
      </c>
      <c r="H541">
        <f>43971*(1.01^10)</f>
        <v>48571.339476456087</v>
      </c>
      <c r="I541">
        <f>272632*(1.01^10)</f>
        <v>301155.33929510758</v>
      </c>
      <c r="J541" t="s">
        <v>2171</v>
      </c>
      <c r="K541">
        <f t="shared" si="8"/>
        <v>567.76714406179349</v>
      </c>
    </row>
    <row r="542" spans="1:11" x14ac:dyDescent="0.2">
      <c r="A542" t="s">
        <v>1886</v>
      </c>
      <c r="B542" t="s">
        <v>1303</v>
      </c>
      <c r="C542" t="s">
        <v>2172</v>
      </c>
      <c r="D542" t="s">
        <v>2173</v>
      </c>
      <c r="E542" t="s">
        <v>1215</v>
      </c>
      <c r="F542" t="s">
        <v>24</v>
      </c>
      <c r="G542" t="s">
        <v>17</v>
      </c>
      <c r="H542">
        <f>60737*(1.01^10)</f>
        <v>67091.434031100347</v>
      </c>
      <c r="I542">
        <f>395009*(1.01^10)</f>
        <v>436335.68113655457</v>
      </c>
      <c r="J542" t="s">
        <v>2174</v>
      </c>
      <c r="K542">
        <f t="shared" si="8"/>
        <v>640.94145050192947</v>
      </c>
    </row>
    <row r="543" spans="1:11" x14ac:dyDescent="0.2">
      <c r="A543" t="s">
        <v>1886</v>
      </c>
      <c r="B543" t="s">
        <v>1303</v>
      </c>
      <c r="C543" t="s">
        <v>2176</v>
      </c>
      <c r="D543" t="s">
        <v>2177</v>
      </c>
      <c r="E543" t="s">
        <v>621</v>
      </c>
      <c r="F543" t="s">
        <v>24</v>
      </c>
      <c r="G543" t="s">
        <v>5</v>
      </c>
      <c r="H543">
        <f>72330*(1.01^10)</f>
        <v>79897.318330992435</v>
      </c>
      <c r="I543">
        <f>444105*(1.01^10)</f>
        <v>490568.20900574309</v>
      </c>
      <c r="J543" t="s">
        <v>2178</v>
      </c>
      <c r="K543">
        <f t="shared" si="8"/>
        <v>314.26825010535089</v>
      </c>
    </row>
    <row r="544" spans="1:11" x14ac:dyDescent="0.2">
      <c r="A544" t="s">
        <v>1886</v>
      </c>
      <c r="B544" t="s">
        <v>1303</v>
      </c>
      <c r="C544" t="s">
        <v>2179</v>
      </c>
      <c r="D544" t="s">
        <v>2180</v>
      </c>
      <c r="E544" t="s">
        <v>1446</v>
      </c>
      <c r="F544" t="s">
        <v>744</v>
      </c>
      <c r="G544" t="s">
        <v>24</v>
      </c>
      <c r="H544">
        <f>35063*(1.01^10)</f>
        <v>38731.365583293074</v>
      </c>
      <c r="I544">
        <f>213016*(1.01^10)</f>
        <v>235302.18666659319</v>
      </c>
      <c r="J544" t="s">
        <v>2181</v>
      </c>
      <c r="K544">
        <f t="shared" si="8"/>
        <v>175.63860182669194</v>
      </c>
    </row>
    <row r="545" spans="1:11" x14ac:dyDescent="0.2">
      <c r="A545" t="s">
        <v>1886</v>
      </c>
      <c r="B545" t="s">
        <v>1303</v>
      </c>
      <c r="C545" t="s">
        <v>2182</v>
      </c>
      <c r="D545" t="s">
        <v>2183</v>
      </c>
      <c r="E545" t="s">
        <v>1115</v>
      </c>
      <c r="F545" t="s">
        <v>11</v>
      </c>
      <c r="G545" t="s">
        <v>24</v>
      </c>
      <c r="H545">
        <f>31504*(1.01^10)</f>
        <v>34800.015438954593</v>
      </c>
      <c r="I545">
        <f>191126*(1.01^10)</f>
        <v>211122.00834134192</v>
      </c>
      <c r="J545" t="s">
        <v>2184</v>
      </c>
      <c r="K545">
        <f t="shared" si="8"/>
        <v>188.81095159205373</v>
      </c>
    </row>
    <row r="546" spans="1:11" x14ac:dyDescent="0.2">
      <c r="A546" t="s">
        <v>1886</v>
      </c>
      <c r="B546" t="s">
        <v>1303</v>
      </c>
      <c r="C546" t="s">
        <v>2185</v>
      </c>
      <c r="D546" t="s">
        <v>2186</v>
      </c>
      <c r="E546" t="s">
        <v>2162</v>
      </c>
      <c r="F546" t="s">
        <v>11</v>
      </c>
      <c r="G546" t="s">
        <v>12</v>
      </c>
      <c r="H546">
        <f>185582*(1.01^10)</f>
        <v>204997.98327806219</v>
      </c>
      <c r="I546">
        <f>969696*(1.01^10)</f>
        <v>1071147.6565227436</v>
      </c>
      <c r="J546" t="s">
        <v>2187</v>
      </c>
      <c r="K546">
        <f t="shared" si="8"/>
        <v>1508.2155530713553</v>
      </c>
    </row>
    <row r="547" spans="1:11" x14ac:dyDescent="0.2">
      <c r="A547" t="s">
        <v>1886</v>
      </c>
      <c r="B547" t="s">
        <v>1303</v>
      </c>
      <c r="C547" t="s">
        <v>2188</v>
      </c>
      <c r="D547" t="s">
        <v>2189</v>
      </c>
      <c r="E547" t="s">
        <v>777</v>
      </c>
      <c r="F547" t="s">
        <v>24</v>
      </c>
      <c r="G547" t="s">
        <v>17</v>
      </c>
      <c r="H547">
        <f>446060*(1.01^10)</f>
        <v>492727.74526092201</v>
      </c>
      <c r="I547">
        <f>2298782*(1.01^10)</f>
        <v>2539285.4586970201</v>
      </c>
      <c r="J547" t="s">
        <v>2190</v>
      </c>
      <c r="K547">
        <f t="shared" si="8"/>
        <v>4383.9191886785839</v>
      </c>
    </row>
    <row r="548" spans="1:11" x14ac:dyDescent="0.2">
      <c r="A548" t="s">
        <v>1886</v>
      </c>
      <c r="B548" t="s">
        <v>1303</v>
      </c>
      <c r="C548" t="s">
        <v>2191</v>
      </c>
      <c r="D548" t="s">
        <v>2192</v>
      </c>
      <c r="E548" t="s">
        <v>350</v>
      </c>
      <c r="F548" t="s">
        <v>11</v>
      </c>
      <c r="G548" t="s">
        <v>12</v>
      </c>
      <c r="H548">
        <f>74794*(1.01^10)</f>
        <v>82619.107248005646</v>
      </c>
      <c r="I548">
        <f>452005*(1.01^10)</f>
        <v>499294.72379649163</v>
      </c>
      <c r="J548" t="s">
        <v>2193</v>
      </c>
      <c r="K548">
        <f t="shared" si="8"/>
        <v>615.74997896704087</v>
      </c>
    </row>
    <row r="549" spans="1:11" x14ac:dyDescent="0.2">
      <c r="A549" t="s">
        <v>1886</v>
      </c>
      <c r="B549" t="s">
        <v>1303</v>
      </c>
      <c r="C549" t="s">
        <v>2194</v>
      </c>
      <c r="D549" t="s">
        <v>2195</v>
      </c>
      <c r="E549" t="s">
        <v>651</v>
      </c>
      <c r="F549" t="s">
        <v>152</v>
      </c>
      <c r="G549" t="s">
        <v>12</v>
      </c>
      <c r="H549">
        <f>49963*(1.01^10)</f>
        <v>55190.235251920021</v>
      </c>
      <c r="I549">
        <f>303236*(1.01^10)</f>
        <v>334961.19482119207</v>
      </c>
      <c r="J549" t="s">
        <v>2196</v>
      </c>
      <c r="K549">
        <f t="shared" si="8"/>
        <v>327.67582008635725</v>
      </c>
    </row>
    <row r="550" spans="1:11" x14ac:dyDescent="0.2">
      <c r="A550" t="s">
        <v>1886</v>
      </c>
      <c r="B550" t="s">
        <v>1303</v>
      </c>
      <c r="C550" t="s">
        <v>2197</v>
      </c>
      <c r="D550" t="s">
        <v>2198</v>
      </c>
      <c r="E550" t="s">
        <v>144</v>
      </c>
      <c r="F550" t="s">
        <v>158</v>
      </c>
      <c r="G550" t="s">
        <v>11</v>
      </c>
      <c r="H550">
        <f>44659*(1.01^10)</f>
        <v>49331.319498738994</v>
      </c>
      <c r="I550">
        <f>283594*(1.01^10)</f>
        <v>313264.20703386521</v>
      </c>
      <c r="J550" t="s">
        <v>2199</v>
      </c>
      <c r="K550">
        <f t="shared" si="8"/>
        <v>460.78454052376378</v>
      </c>
    </row>
    <row r="551" spans="1:11" x14ac:dyDescent="0.2">
      <c r="A551" t="s">
        <v>1886</v>
      </c>
      <c r="B551" t="s">
        <v>1303</v>
      </c>
      <c r="C551" t="s">
        <v>2200</v>
      </c>
      <c r="D551" t="s">
        <v>2201</v>
      </c>
      <c r="E551" t="s">
        <v>1498</v>
      </c>
      <c r="F551" t="s">
        <v>1340</v>
      </c>
      <c r="G551" t="s">
        <v>12</v>
      </c>
      <c r="H551">
        <f>35645*(1.01^10)</f>
        <v>39374.25566028239</v>
      </c>
      <c r="I551">
        <f>223634*(1.01^10)</f>
        <v>247031.06439420936</v>
      </c>
      <c r="J551" t="s">
        <v>2202</v>
      </c>
      <c r="K551">
        <f t="shared" si="8"/>
        <v>302.52331068530157</v>
      </c>
    </row>
    <row r="552" spans="1:11" x14ac:dyDescent="0.2">
      <c r="A552" t="s">
        <v>1886</v>
      </c>
      <c r="B552" t="s">
        <v>1328</v>
      </c>
      <c r="C552" t="s">
        <v>2203</v>
      </c>
      <c r="D552" t="s">
        <v>440</v>
      </c>
      <c r="E552" t="s">
        <v>766</v>
      </c>
      <c r="F552" t="s">
        <v>24</v>
      </c>
      <c r="G552" t="s">
        <v>17</v>
      </c>
      <c r="H552">
        <f>50488*(1.01^10)</f>
        <v>55770.161867760908</v>
      </c>
      <c r="I552">
        <f>305638*(1.01^10)</f>
        <v>337614.49716642982</v>
      </c>
      <c r="J552" t="s">
        <v>2204</v>
      </c>
      <c r="K552">
        <f t="shared" si="8"/>
        <v>315.11159712657189</v>
      </c>
    </row>
    <row r="553" spans="1:11" x14ac:dyDescent="0.2">
      <c r="A553" t="s">
        <v>1886</v>
      </c>
      <c r="B553" t="s">
        <v>1328</v>
      </c>
      <c r="C553" t="s">
        <v>2205</v>
      </c>
      <c r="D553" t="s">
        <v>2043</v>
      </c>
      <c r="E553" t="s">
        <v>982</v>
      </c>
      <c r="F553" t="s">
        <v>24</v>
      </c>
      <c r="G553" t="s">
        <v>12</v>
      </c>
      <c r="H553">
        <f>54786*(1.01^10)</f>
        <v>60517.827762778266</v>
      </c>
      <c r="I553">
        <f>320956*(1.01^10)</f>
        <v>354535.09888347861</v>
      </c>
      <c r="J553" t="s">
        <v>2206</v>
      </c>
      <c r="K553">
        <f t="shared" si="8"/>
        <v>290.18695767561758</v>
      </c>
    </row>
    <row r="554" spans="1:11" x14ac:dyDescent="0.2">
      <c r="A554" t="s">
        <v>1886</v>
      </c>
      <c r="B554" t="s">
        <v>1328</v>
      </c>
      <c r="C554" t="s">
        <v>2207</v>
      </c>
      <c r="D554" t="s">
        <v>2208</v>
      </c>
      <c r="E554" t="s">
        <v>798</v>
      </c>
      <c r="F554" t="s">
        <v>24</v>
      </c>
      <c r="G554" t="s">
        <v>12</v>
      </c>
      <c r="H554">
        <f>106711*(1.01^10)</f>
        <v>117875.33162475507</v>
      </c>
      <c r="I554">
        <f>644186*(1.01^10)</f>
        <v>711582.10848014231</v>
      </c>
      <c r="J554" t="s">
        <v>2209</v>
      </c>
      <c r="K554">
        <f t="shared" si="8"/>
        <v>469.30060715073415</v>
      </c>
    </row>
    <row r="555" spans="1:11" x14ac:dyDescent="0.2">
      <c r="A555" t="s">
        <v>1886</v>
      </c>
      <c r="B555" t="s">
        <v>1328</v>
      </c>
      <c r="C555" t="s">
        <v>2211</v>
      </c>
      <c r="D555" t="s">
        <v>2212</v>
      </c>
      <c r="E555" t="s">
        <v>1900</v>
      </c>
      <c r="F555" t="s">
        <v>24</v>
      </c>
      <c r="G555" t="s">
        <v>5</v>
      </c>
      <c r="H555">
        <f>68565*(1.01^10)</f>
        <v>75738.416028819251</v>
      </c>
      <c r="I555">
        <f>423314*(1.01^10)</f>
        <v>467602.01039631874</v>
      </c>
      <c r="J555" t="s">
        <v>2213</v>
      </c>
      <c r="K555">
        <f t="shared" si="8"/>
        <v>340.98835700063637</v>
      </c>
    </row>
    <row r="556" spans="1:11" x14ac:dyDescent="0.2">
      <c r="A556" t="s">
        <v>1886</v>
      </c>
      <c r="B556" t="s">
        <v>1328</v>
      </c>
      <c r="C556" t="s">
        <v>2214</v>
      </c>
      <c r="D556" t="s">
        <v>2215</v>
      </c>
      <c r="E556" t="s">
        <v>2216</v>
      </c>
      <c r="F556" t="s">
        <v>92</v>
      </c>
      <c r="G556" t="s">
        <v>92</v>
      </c>
      <c r="H556">
        <f>95115*(1.01^10)</f>
        <v>105066.13345848674</v>
      </c>
      <c r="I556">
        <f>583328*(1.01^10)</f>
        <v>644357.01517186721</v>
      </c>
      <c r="J556" t="s">
        <v>2217</v>
      </c>
      <c r="K556">
        <f t="shared" si="8"/>
        <v>469.33232100626424</v>
      </c>
    </row>
    <row r="557" spans="1:11" x14ac:dyDescent="0.2">
      <c r="A557" t="s">
        <v>1886</v>
      </c>
      <c r="B557" t="s">
        <v>1328</v>
      </c>
      <c r="C557" t="s">
        <v>2218</v>
      </c>
      <c r="D557" t="s">
        <v>2219</v>
      </c>
      <c r="E557" t="s">
        <v>350</v>
      </c>
      <c r="F557" t="s">
        <v>24</v>
      </c>
      <c r="G557" t="s">
        <v>17</v>
      </c>
      <c r="H557">
        <f>69151*(1.01^10)</f>
        <v>76385.724594310217</v>
      </c>
      <c r="I557">
        <f>399911*(1.01^10)</f>
        <v>441750.53879532032</v>
      </c>
      <c r="J557" t="s">
        <v>2220</v>
      </c>
      <c r="K557">
        <f t="shared" si="8"/>
        <v>374.89064054480269</v>
      </c>
    </row>
    <row r="558" spans="1:11" x14ac:dyDescent="0.2">
      <c r="A558" t="s">
        <v>1886</v>
      </c>
      <c r="B558" t="s">
        <v>436</v>
      </c>
      <c r="C558" t="s">
        <v>2222</v>
      </c>
      <c r="D558" t="s">
        <v>2223</v>
      </c>
      <c r="E558" t="s">
        <v>1223</v>
      </c>
      <c r="F558" t="s">
        <v>12</v>
      </c>
      <c r="G558" t="s">
        <v>12</v>
      </c>
      <c r="H558">
        <f>41639*(1.01^10)</f>
        <v>45995.360679997153</v>
      </c>
      <c r="I558">
        <f>252942*(1.01^10)</f>
        <v>279405.32964576094</v>
      </c>
      <c r="J558" t="s">
        <v>2224</v>
      </c>
      <c r="K558">
        <f t="shared" si="8"/>
        <v>222.04162784180429</v>
      </c>
    </row>
    <row r="559" spans="1:11" x14ac:dyDescent="0.2">
      <c r="A559" t="s">
        <v>1886</v>
      </c>
      <c r="B559" t="s">
        <v>436</v>
      </c>
      <c r="C559" t="s">
        <v>2225</v>
      </c>
      <c r="D559" t="s">
        <v>2226</v>
      </c>
      <c r="E559" t="s">
        <v>811</v>
      </c>
      <c r="F559" t="s">
        <v>12</v>
      </c>
      <c r="G559" t="s">
        <v>12</v>
      </c>
      <c r="H559">
        <f>67030*(1.01^10)</f>
        <v>74042.821066313059</v>
      </c>
      <c r="I559">
        <f>397003*(1.01^10)</f>
        <v>438538.2976546245</v>
      </c>
      <c r="J559" t="s">
        <v>2227</v>
      </c>
      <c r="K559">
        <f t="shared" si="8"/>
        <v>265.93432073493835</v>
      </c>
    </row>
    <row r="560" spans="1:11" x14ac:dyDescent="0.2">
      <c r="A560" t="s">
        <v>1886</v>
      </c>
      <c r="B560" t="s">
        <v>436</v>
      </c>
      <c r="C560" t="s">
        <v>2228</v>
      </c>
      <c r="D560" t="s">
        <v>2229</v>
      </c>
      <c r="E560" t="s">
        <v>679</v>
      </c>
      <c r="F560" t="s">
        <v>12</v>
      </c>
      <c r="G560" t="s">
        <v>24</v>
      </c>
      <c r="H560">
        <f>47470*(1.01^10)</f>
        <v>52436.412293269888</v>
      </c>
      <c r="I560">
        <f>269024*(1.01^10)</f>
        <v>297169.86266662396</v>
      </c>
      <c r="J560" t="s">
        <v>2230</v>
      </c>
      <c r="K560">
        <f t="shared" si="8"/>
        <v>143.85470671317367</v>
      </c>
    </row>
    <row r="561" spans="1:11" x14ac:dyDescent="0.2">
      <c r="A561" t="s">
        <v>1886</v>
      </c>
      <c r="B561" t="s">
        <v>436</v>
      </c>
      <c r="C561" t="s">
        <v>2231</v>
      </c>
      <c r="D561" t="s">
        <v>2232</v>
      </c>
      <c r="E561" t="s">
        <v>350</v>
      </c>
      <c r="F561" t="s">
        <v>12</v>
      </c>
      <c r="G561" t="s">
        <v>92</v>
      </c>
      <c r="H561">
        <f>89309*(1.01^10)</f>
        <v>98652.697398349279</v>
      </c>
      <c r="I561">
        <f>524926*(1.01^10)</f>
        <v>579844.87380360207</v>
      </c>
      <c r="J561" t="s">
        <v>2233</v>
      </c>
      <c r="K561">
        <f t="shared" si="8"/>
        <v>189.76778601532652</v>
      </c>
    </row>
    <row r="562" spans="1:11" x14ac:dyDescent="0.2">
      <c r="A562" t="s">
        <v>1886</v>
      </c>
      <c r="B562" t="s">
        <v>436</v>
      </c>
      <c r="C562" t="s">
        <v>2234</v>
      </c>
      <c r="D562" t="s">
        <v>2235</v>
      </c>
      <c r="E562" t="s">
        <v>287</v>
      </c>
      <c r="F562" t="s">
        <v>24</v>
      </c>
      <c r="G562" t="s">
        <v>24</v>
      </c>
      <c r="H562">
        <f>32478*(1.01^10)</f>
        <v>35875.91738910511</v>
      </c>
      <c r="I562">
        <f>192924*(1.01^10)</f>
        <v>213108.11892283126</v>
      </c>
      <c r="J562" t="s">
        <v>2236</v>
      </c>
      <c r="K562">
        <f t="shared" si="8"/>
        <v>129.4498562493786</v>
      </c>
    </row>
    <row r="563" spans="1:11" x14ac:dyDescent="0.2">
      <c r="A563" t="s">
        <v>1886</v>
      </c>
      <c r="B563" t="s">
        <v>436</v>
      </c>
      <c r="C563" t="s">
        <v>2237</v>
      </c>
      <c r="D563" t="s">
        <v>2238</v>
      </c>
      <c r="E563" t="s">
        <v>157</v>
      </c>
      <c r="F563" t="s">
        <v>5</v>
      </c>
      <c r="G563" t="s">
        <v>11</v>
      </c>
      <c r="H563">
        <f>74267*(1.01^10)</f>
        <v>82036.971387913945</v>
      </c>
      <c r="I563">
        <f>388929*(1.01^10)</f>
        <v>429619.57861405442</v>
      </c>
      <c r="J563" t="s">
        <v>2239</v>
      </c>
      <c r="K563">
        <f t="shared" si="8"/>
        <v>187.9665138969319</v>
      </c>
    </row>
    <row r="564" spans="1:11" x14ac:dyDescent="0.2">
      <c r="A564" t="s">
        <v>1886</v>
      </c>
      <c r="B564" t="s">
        <v>436</v>
      </c>
      <c r="C564" t="s">
        <v>2240</v>
      </c>
      <c r="D564" t="s">
        <v>2241</v>
      </c>
      <c r="E564" t="s">
        <v>814</v>
      </c>
      <c r="F564" t="s">
        <v>158</v>
      </c>
      <c r="G564" t="s">
        <v>17</v>
      </c>
      <c r="H564">
        <f>59116*(1.01^10)</f>
        <v>65300.841565808783</v>
      </c>
      <c r="I564">
        <f>306103*(1.01^10)</f>
        <v>338128.14645474602</v>
      </c>
      <c r="J564" t="s">
        <v>2242</v>
      </c>
      <c r="K564">
        <f t="shared" si="8"/>
        <v>178.15033554441868</v>
      </c>
    </row>
    <row r="565" spans="1:11" x14ac:dyDescent="0.2">
      <c r="A565" t="s">
        <v>1886</v>
      </c>
      <c r="B565" t="s">
        <v>436</v>
      </c>
      <c r="C565" t="s">
        <v>2243</v>
      </c>
      <c r="D565" t="s">
        <v>2244</v>
      </c>
      <c r="E565" t="s">
        <v>839</v>
      </c>
      <c r="F565" t="s">
        <v>24</v>
      </c>
      <c r="G565" t="s">
        <v>12</v>
      </c>
      <c r="H565">
        <f>41748*(1.01^10)</f>
        <v>46115.764491666974</v>
      </c>
      <c r="I565">
        <f>225413*(1.01^10)</f>
        <v>248996.18715531589</v>
      </c>
      <c r="J565" t="s">
        <v>2245</v>
      </c>
      <c r="K565">
        <f t="shared" si="8"/>
        <v>225.31943589933832</v>
      </c>
    </row>
    <row r="566" spans="1:11" x14ac:dyDescent="0.2">
      <c r="A566" t="s">
        <v>1886</v>
      </c>
      <c r="B566" t="s">
        <v>436</v>
      </c>
      <c r="C566" t="s">
        <v>2246</v>
      </c>
      <c r="D566" t="s">
        <v>2247</v>
      </c>
      <c r="E566" t="s">
        <v>58</v>
      </c>
      <c r="F566" t="s">
        <v>24</v>
      </c>
      <c r="G566" t="s">
        <v>11</v>
      </c>
      <c r="H566">
        <f>57048*(1.01^10)</f>
        <v>63016.483010458411</v>
      </c>
      <c r="I566">
        <f>345569*(1.01^10)</f>
        <v>381723.16325622459</v>
      </c>
      <c r="J566" t="s">
        <v>2248</v>
      </c>
      <c r="K566">
        <f t="shared" si="8"/>
        <v>338.47847311736035</v>
      </c>
    </row>
    <row r="567" spans="1:11" x14ac:dyDescent="0.2">
      <c r="A567" t="s">
        <v>1886</v>
      </c>
      <c r="B567" t="s">
        <v>436</v>
      </c>
      <c r="C567" t="s">
        <v>2249</v>
      </c>
      <c r="D567" t="s">
        <v>2250</v>
      </c>
      <c r="E567" t="s">
        <v>725</v>
      </c>
      <c r="F567" t="s">
        <v>24</v>
      </c>
      <c r="G567" t="s">
        <v>17</v>
      </c>
      <c r="H567">
        <f>68704*(1.01^10)</f>
        <v>75891.958504251408</v>
      </c>
      <c r="I567">
        <f>404910*(1.01^10)</f>
        <v>447272.54480025091</v>
      </c>
      <c r="J567" t="s">
        <v>2251</v>
      </c>
      <c r="K567">
        <f t="shared" si="8"/>
        <v>274.97502822027047</v>
      </c>
    </row>
    <row r="568" spans="1:11" x14ac:dyDescent="0.2">
      <c r="A568" t="s">
        <v>1886</v>
      </c>
      <c r="B568" t="s">
        <v>503</v>
      </c>
      <c r="C568" t="s">
        <v>2252</v>
      </c>
      <c r="D568" t="s">
        <v>2253</v>
      </c>
      <c r="E568" t="s">
        <v>1085</v>
      </c>
      <c r="F568" t="s">
        <v>24</v>
      </c>
      <c r="G568" t="s">
        <v>12</v>
      </c>
      <c r="H568">
        <f>93489*(1.01^10)</f>
        <v>103270.01788256812</v>
      </c>
      <c r="I568">
        <f>564560*(1.01^10)</f>
        <v>623625.46712214977</v>
      </c>
      <c r="J568" t="s">
        <v>2254</v>
      </c>
      <c r="K568">
        <f t="shared" si="8"/>
        <v>81.02387254456012</v>
      </c>
    </row>
    <row r="569" spans="1:11" x14ac:dyDescent="0.2">
      <c r="A569" t="s">
        <v>1886</v>
      </c>
      <c r="B569" t="s">
        <v>503</v>
      </c>
      <c r="C569" t="s">
        <v>2255</v>
      </c>
      <c r="D569" t="s">
        <v>2256</v>
      </c>
      <c r="E569" t="s">
        <v>1696</v>
      </c>
      <c r="F569" t="s">
        <v>24</v>
      </c>
      <c r="G569" t="s">
        <v>24</v>
      </c>
      <c r="H569">
        <f>75643*(1.01^10)</f>
        <v>83556.93143247976</v>
      </c>
      <c r="I569">
        <f>465257*(1.01^10)</f>
        <v>513933.17620244087</v>
      </c>
      <c r="J569" t="s">
        <v>2257</v>
      </c>
      <c r="K569">
        <f t="shared" si="8"/>
        <v>145.03904333902403</v>
      </c>
    </row>
    <row r="570" spans="1:11" x14ac:dyDescent="0.2">
      <c r="A570" t="s">
        <v>1886</v>
      </c>
      <c r="B570" t="s">
        <v>503</v>
      </c>
      <c r="C570" t="s">
        <v>2258</v>
      </c>
      <c r="D570" t="s">
        <v>2259</v>
      </c>
      <c r="E570" t="s">
        <v>598</v>
      </c>
      <c r="F570" t="s">
        <v>24</v>
      </c>
      <c r="G570" t="s">
        <v>24</v>
      </c>
      <c r="H570">
        <f>58361*(1.01^10)</f>
        <v>64466.851861123323</v>
      </c>
      <c r="I570">
        <f>320952*(1.01^10)</f>
        <v>354530.68039497698</v>
      </c>
      <c r="J570" t="s">
        <v>2260</v>
      </c>
      <c r="K570">
        <f t="shared" si="8"/>
        <v>142.28796876140729</v>
      </c>
    </row>
    <row r="571" spans="1:11" x14ac:dyDescent="0.2">
      <c r="A571" t="s">
        <v>1886</v>
      </c>
      <c r="B571" t="s">
        <v>503</v>
      </c>
      <c r="C571" t="s">
        <v>2261</v>
      </c>
      <c r="D571" t="s">
        <v>2262</v>
      </c>
      <c r="E571" t="s">
        <v>1295</v>
      </c>
      <c r="F571" t="s">
        <v>12</v>
      </c>
      <c r="G571" t="s">
        <v>5</v>
      </c>
      <c r="H571">
        <f>253102*(1.01^10)</f>
        <v>279582.06918582675</v>
      </c>
      <c r="I571">
        <f>1378224*(1.01^10)</f>
        <v>1522416.7241727323</v>
      </c>
      <c r="J571" t="s">
        <v>2263</v>
      </c>
      <c r="K571">
        <f t="shared" si="8"/>
        <v>773.42171006088074</v>
      </c>
    </row>
    <row r="572" spans="1:11" x14ac:dyDescent="0.2">
      <c r="A572" t="s">
        <v>1886</v>
      </c>
      <c r="B572" t="s">
        <v>503</v>
      </c>
      <c r="C572" t="s">
        <v>2264</v>
      </c>
      <c r="D572" t="s">
        <v>2265</v>
      </c>
      <c r="E572" t="s">
        <v>2266</v>
      </c>
      <c r="F572" t="s">
        <v>24</v>
      </c>
      <c r="G572" t="s">
        <v>24</v>
      </c>
      <c r="H572">
        <f>75925*(1.01^10)</f>
        <v>83868.434871845719</v>
      </c>
      <c r="I572">
        <f>452134*(1.01^10)</f>
        <v>499437.22005066962</v>
      </c>
      <c r="J572" t="s">
        <v>2267</v>
      </c>
      <c r="K572">
        <f t="shared" si="8"/>
        <v>129.16557192572529</v>
      </c>
    </row>
    <row r="573" spans="1:11" x14ac:dyDescent="0.2">
      <c r="A573" t="s">
        <v>1886</v>
      </c>
      <c r="B573" t="s">
        <v>503</v>
      </c>
      <c r="C573" t="s">
        <v>2268</v>
      </c>
      <c r="D573" t="s">
        <v>2269</v>
      </c>
      <c r="E573" t="s">
        <v>982</v>
      </c>
      <c r="F573" t="s">
        <v>24</v>
      </c>
      <c r="G573" t="s">
        <v>24</v>
      </c>
      <c r="H573">
        <f>37897*(1.01^10)</f>
        <v>41861.864686708424</v>
      </c>
      <c r="I573">
        <f>221979*(1.01^10)</f>
        <v>245202.91477665381</v>
      </c>
      <c r="J573" t="s">
        <v>2270</v>
      </c>
      <c r="K573">
        <f t="shared" si="8"/>
        <v>151.65424874068788</v>
      </c>
    </row>
    <row r="574" spans="1:11" x14ac:dyDescent="0.2">
      <c r="A574" t="s">
        <v>1886</v>
      </c>
      <c r="B574" t="s">
        <v>503</v>
      </c>
      <c r="C574" t="s">
        <v>2271</v>
      </c>
      <c r="D574" t="s">
        <v>2272</v>
      </c>
      <c r="E574" t="s">
        <v>28</v>
      </c>
      <c r="F574" t="s">
        <v>12</v>
      </c>
      <c r="G574" t="s">
        <v>17</v>
      </c>
      <c r="H574">
        <f>54596*(1.01^10)</f>
        <v>60307.949558950131</v>
      </c>
      <c r="I574">
        <f>284059*(1.01^10)</f>
        <v>313777.85632218141</v>
      </c>
      <c r="J574" t="s">
        <v>2273</v>
      </c>
      <c r="K574">
        <f t="shared" si="8"/>
        <v>188.31708769368259</v>
      </c>
    </row>
    <row r="575" spans="1:11" x14ac:dyDescent="0.2">
      <c r="A575" t="s">
        <v>1886</v>
      </c>
      <c r="B575" t="s">
        <v>1215</v>
      </c>
      <c r="C575" t="s">
        <v>2274</v>
      </c>
      <c r="D575" t="s">
        <v>2275</v>
      </c>
      <c r="E575" t="s">
        <v>2276</v>
      </c>
      <c r="F575" t="s">
        <v>47</v>
      </c>
      <c r="G575" t="s">
        <v>12</v>
      </c>
      <c r="H575">
        <f>48686*(1.01^10)</f>
        <v>53779.632797769911</v>
      </c>
      <c r="I575">
        <f>265237*(1.01^10)</f>
        <v>292986.65867769171</v>
      </c>
      <c r="J575" t="s">
        <v>2277</v>
      </c>
      <c r="K575">
        <f t="shared" si="8"/>
        <v>11.977008183971771</v>
      </c>
    </row>
    <row r="576" spans="1:11" x14ac:dyDescent="0.2">
      <c r="A576" t="s">
        <v>1886</v>
      </c>
      <c r="B576" t="s">
        <v>1215</v>
      </c>
      <c r="C576" t="s">
        <v>2278</v>
      </c>
      <c r="D576" t="s">
        <v>2279</v>
      </c>
      <c r="E576" t="s">
        <v>781</v>
      </c>
      <c r="F576" t="s">
        <v>92</v>
      </c>
      <c r="G576" t="s">
        <v>12</v>
      </c>
      <c r="H576">
        <f>50690*(1.01^10)</f>
        <v>55993.295537093967</v>
      </c>
      <c r="I576">
        <f>303662*(1.01^10)</f>
        <v>335431.76384661725</v>
      </c>
      <c r="J576" t="s">
        <v>2280</v>
      </c>
      <c r="K576">
        <f t="shared" si="8"/>
        <v>34.946132378505148</v>
      </c>
    </row>
    <row r="577" spans="1:11" x14ac:dyDescent="0.2">
      <c r="A577" t="s">
        <v>1886</v>
      </c>
      <c r="B577" t="s">
        <v>1215</v>
      </c>
      <c r="C577" t="s">
        <v>2281</v>
      </c>
      <c r="D577" t="s">
        <v>2282</v>
      </c>
      <c r="E577" t="s">
        <v>2283</v>
      </c>
      <c r="F577" t="s">
        <v>12</v>
      </c>
      <c r="G577" t="s">
        <v>24</v>
      </c>
      <c r="H577">
        <f>17795*(1.01^10)</f>
        <v>19656.750721692388</v>
      </c>
      <c r="I577">
        <f>101020*(1.01^10)</f>
        <v>111588.9271090399</v>
      </c>
      <c r="J577" t="s">
        <v>2284</v>
      </c>
      <c r="K577">
        <f t="shared" si="8"/>
        <v>25.711518772360762</v>
      </c>
    </row>
    <row r="578" spans="1:11" x14ac:dyDescent="0.2">
      <c r="A578" t="s">
        <v>1886</v>
      </c>
      <c r="B578" t="s">
        <v>1960</v>
      </c>
      <c r="C578" t="s">
        <v>2285</v>
      </c>
      <c r="D578" t="s">
        <v>2286</v>
      </c>
      <c r="E578" t="s">
        <v>781</v>
      </c>
      <c r="F578" t="s">
        <v>12</v>
      </c>
      <c r="G578" t="s">
        <v>24</v>
      </c>
      <c r="H578">
        <f>40420*(1.01^10)</f>
        <v>44648.826309120894</v>
      </c>
      <c r="I578">
        <f>237080*(1.01^10)</f>
        <v>261883.81349248841</v>
      </c>
      <c r="J578" t="s">
        <v>2287</v>
      </c>
      <c r="K578">
        <f t="shared" si="8"/>
        <v>39.596086941255003</v>
      </c>
    </row>
    <row r="579" spans="1:11" x14ac:dyDescent="0.2">
      <c r="A579" t="s">
        <v>1886</v>
      </c>
      <c r="B579" t="s">
        <v>1960</v>
      </c>
      <c r="C579" t="s">
        <v>2288</v>
      </c>
      <c r="D579" t="s">
        <v>2289</v>
      </c>
      <c r="E579" t="s">
        <v>2290</v>
      </c>
      <c r="F579" t="s">
        <v>24</v>
      </c>
      <c r="G579" t="s">
        <v>24</v>
      </c>
      <c r="H579">
        <f>46075*(1.01^10)</f>
        <v>50895.464428321262</v>
      </c>
      <c r="I579">
        <f>253350*(1.01^10)</f>
        <v>279856.0154729287</v>
      </c>
      <c r="J579" t="s">
        <v>2291</v>
      </c>
      <c r="K579">
        <f t="shared" ref="K579:K642" si="9">I579/J579</f>
        <v>90.306514149872356</v>
      </c>
    </row>
    <row r="580" spans="1:11" x14ac:dyDescent="0.2">
      <c r="A580" t="s">
        <v>1886</v>
      </c>
      <c r="B580" t="s">
        <v>1960</v>
      </c>
      <c r="C580" t="s">
        <v>2292</v>
      </c>
      <c r="D580" t="s">
        <v>2293</v>
      </c>
      <c r="E580" t="s">
        <v>455</v>
      </c>
      <c r="F580" t="s">
        <v>17</v>
      </c>
      <c r="G580" t="s">
        <v>12</v>
      </c>
      <c r="H580">
        <f>73167*(1.01^10)</f>
        <v>80821.887049961617</v>
      </c>
      <c r="I580">
        <f>422784*(1.01^10)</f>
        <v>467016.56066985079</v>
      </c>
      <c r="J580" t="s">
        <v>2294</v>
      </c>
      <c r="K580">
        <f t="shared" si="9"/>
        <v>134.09628990501639</v>
      </c>
    </row>
    <row r="581" spans="1:11" x14ac:dyDescent="0.2">
      <c r="A581" t="s">
        <v>1886</v>
      </c>
      <c r="B581" t="s">
        <v>1960</v>
      </c>
      <c r="C581" t="s">
        <v>2295</v>
      </c>
      <c r="D581" t="s">
        <v>2296</v>
      </c>
      <c r="E581" t="s">
        <v>555</v>
      </c>
      <c r="F581" t="s">
        <v>12</v>
      </c>
      <c r="G581" t="s">
        <v>24</v>
      </c>
      <c r="H581">
        <f>46487*(1.01^10)</f>
        <v>51350.568743990676</v>
      </c>
      <c r="I581">
        <f>272560*(1.01^10)</f>
        <v>301075.80650207796</v>
      </c>
      <c r="J581" t="s">
        <v>2297</v>
      </c>
      <c r="K581">
        <f t="shared" si="9"/>
        <v>146.0545341865799</v>
      </c>
    </row>
    <row r="582" spans="1:11" x14ac:dyDescent="0.2">
      <c r="A582" t="s">
        <v>1886</v>
      </c>
      <c r="B582" t="s">
        <v>1960</v>
      </c>
      <c r="C582" t="s">
        <v>2298</v>
      </c>
      <c r="D582" t="s">
        <v>2299</v>
      </c>
      <c r="E582" t="s">
        <v>2300</v>
      </c>
      <c r="F582" t="s">
        <v>24</v>
      </c>
      <c r="G582" t="s">
        <v>12</v>
      </c>
      <c r="H582">
        <f>77803*(1.01^10)</f>
        <v>85942.915223367963</v>
      </c>
      <c r="I582">
        <f>453911*(1.01^10)</f>
        <v>501400.13356752536</v>
      </c>
      <c r="J582" t="s">
        <v>2301</v>
      </c>
      <c r="K582">
        <f t="shared" si="9"/>
        <v>124.57951330224452</v>
      </c>
    </row>
    <row r="583" spans="1:11" x14ac:dyDescent="0.2">
      <c r="A583" t="s">
        <v>1886</v>
      </c>
      <c r="B583" t="s">
        <v>1960</v>
      </c>
      <c r="C583" t="s">
        <v>2302</v>
      </c>
      <c r="D583" t="s">
        <v>2303</v>
      </c>
      <c r="E583" t="s">
        <v>1094</v>
      </c>
      <c r="F583" t="s">
        <v>24</v>
      </c>
      <c r="G583" t="s">
        <v>17</v>
      </c>
      <c r="H583">
        <f>65676*(1.01^10)</f>
        <v>72547.162708506279</v>
      </c>
      <c r="I583">
        <f>370721*(1.01^10)</f>
        <v>409506.61895456724</v>
      </c>
      <c r="J583" t="s">
        <v>2304</v>
      </c>
      <c r="K583">
        <f t="shared" si="9"/>
        <v>140.49859197903402</v>
      </c>
    </row>
    <row r="584" spans="1:11" x14ac:dyDescent="0.2">
      <c r="A584" t="s">
        <v>1886</v>
      </c>
      <c r="B584" t="s">
        <v>1960</v>
      </c>
      <c r="C584" t="s">
        <v>2305</v>
      </c>
      <c r="D584" t="s">
        <v>2306</v>
      </c>
      <c r="E584" t="s">
        <v>310</v>
      </c>
      <c r="F584" t="s">
        <v>11</v>
      </c>
      <c r="G584" t="s">
        <v>24</v>
      </c>
      <c r="H584">
        <f>18717*(1.01^10)</f>
        <v>20675.21232132152</v>
      </c>
      <c r="I584">
        <f>108001*(1.01^10)</f>
        <v>119300.29416653552</v>
      </c>
      <c r="J584" t="s">
        <v>2307</v>
      </c>
      <c r="K584">
        <f t="shared" si="9"/>
        <v>81.993561397636711</v>
      </c>
    </row>
    <row r="585" spans="1:11" x14ac:dyDescent="0.2">
      <c r="A585" t="s">
        <v>1886</v>
      </c>
      <c r="B585" t="s">
        <v>1960</v>
      </c>
      <c r="C585" t="s">
        <v>2308</v>
      </c>
      <c r="D585" t="s">
        <v>2309</v>
      </c>
      <c r="E585" t="s">
        <v>1910</v>
      </c>
      <c r="F585" t="s">
        <v>12</v>
      </c>
      <c r="G585" t="s">
        <v>24</v>
      </c>
      <c r="H585">
        <f>83284*(1.01^10)</f>
        <v>91997.349092746779</v>
      </c>
      <c r="I585">
        <f>485344*(1.01^10)</f>
        <v>536121.72083557572</v>
      </c>
      <c r="J585" t="s">
        <v>2310</v>
      </c>
      <c r="K585">
        <f t="shared" si="9"/>
        <v>113.20959832097863</v>
      </c>
    </row>
    <row r="586" spans="1:11" x14ac:dyDescent="0.2">
      <c r="A586" t="s">
        <v>1886</v>
      </c>
      <c r="B586" t="s">
        <v>315</v>
      </c>
      <c r="C586" t="s">
        <v>2311</v>
      </c>
      <c r="D586" t="s">
        <v>2312</v>
      </c>
      <c r="E586" t="s">
        <v>91</v>
      </c>
      <c r="F586" t="s">
        <v>24</v>
      </c>
      <c r="G586" t="s">
        <v>24</v>
      </c>
      <c r="H586">
        <f>29097*(1.01^10)</f>
        <v>32141.189983089826</v>
      </c>
      <c r="I586">
        <f>176682*(1.01^10)</f>
        <v>195166.84636190248</v>
      </c>
      <c r="J586" t="s">
        <v>2313</v>
      </c>
      <c r="K586">
        <f t="shared" si="9"/>
        <v>202.36220564716896</v>
      </c>
    </row>
    <row r="587" spans="1:11" x14ac:dyDescent="0.2">
      <c r="A587" t="s">
        <v>1886</v>
      </c>
      <c r="B587" t="s">
        <v>315</v>
      </c>
      <c r="C587" t="s">
        <v>2314</v>
      </c>
      <c r="D587" t="s">
        <v>2315</v>
      </c>
      <c r="E587" t="s">
        <v>58</v>
      </c>
      <c r="F587" t="s">
        <v>11</v>
      </c>
      <c r="G587" t="s">
        <v>12</v>
      </c>
      <c r="H587">
        <f>47890*(1.01^10)</f>
        <v>52900.353585942597</v>
      </c>
      <c r="I587">
        <f>239642*(1.01^10)</f>
        <v>264713.85537779192</v>
      </c>
      <c r="J587" t="s">
        <v>2316</v>
      </c>
      <c r="K587">
        <f t="shared" si="9"/>
        <v>140.26053292333836</v>
      </c>
    </row>
    <row r="588" spans="1:11" x14ac:dyDescent="0.2">
      <c r="A588" t="s">
        <v>1886</v>
      </c>
      <c r="B588" t="s">
        <v>315</v>
      </c>
      <c r="C588" t="s">
        <v>2317</v>
      </c>
      <c r="D588" t="s">
        <v>2318</v>
      </c>
      <c r="E588" t="s">
        <v>1106</v>
      </c>
      <c r="F588" t="s">
        <v>12</v>
      </c>
      <c r="G588" t="s">
        <v>12</v>
      </c>
      <c r="H588">
        <f>48370*(1.01^10)</f>
        <v>53430.572206139972</v>
      </c>
      <c r="I588">
        <f>264423*(1.01^10)</f>
        <v>292087.49626760697</v>
      </c>
      <c r="J588" t="s">
        <v>2319</v>
      </c>
      <c r="K588">
        <f t="shared" si="9"/>
        <v>225.34858305149706</v>
      </c>
    </row>
    <row r="589" spans="1:11" x14ac:dyDescent="0.2">
      <c r="A589" t="s">
        <v>1886</v>
      </c>
      <c r="B589" t="s">
        <v>315</v>
      </c>
      <c r="C589" t="s">
        <v>2320</v>
      </c>
      <c r="D589" t="s">
        <v>2321</v>
      </c>
      <c r="E589" t="s">
        <v>40</v>
      </c>
      <c r="F589" t="s">
        <v>17</v>
      </c>
      <c r="G589" t="s">
        <v>12</v>
      </c>
      <c r="H589">
        <f>54534*(1.01^10)</f>
        <v>60239.462987174637</v>
      </c>
      <c r="I589">
        <f>302553*(1.01^10)</f>
        <v>334206.73790953623</v>
      </c>
      <c r="J589" t="s">
        <v>2322</v>
      </c>
      <c r="K589">
        <f t="shared" si="9"/>
        <v>205.45344342286322</v>
      </c>
    </row>
    <row r="590" spans="1:11" x14ac:dyDescent="0.2">
      <c r="A590" t="s">
        <v>1886</v>
      </c>
      <c r="B590" t="s">
        <v>315</v>
      </c>
      <c r="C590" t="s">
        <v>2323</v>
      </c>
      <c r="D590" t="s">
        <v>2324</v>
      </c>
      <c r="E590" t="s">
        <v>837</v>
      </c>
      <c r="F590" t="s">
        <v>24</v>
      </c>
      <c r="G590" t="s">
        <v>24</v>
      </c>
      <c r="H590">
        <f>25032*(1.01^10)</f>
        <v>27650.901043293277</v>
      </c>
      <c r="I590">
        <f>151141*(1.01^10)</f>
        <v>166953.69265677489</v>
      </c>
      <c r="J590" t="s">
        <v>2325</v>
      </c>
      <c r="K590">
        <f t="shared" si="9"/>
        <v>197.4329533684718</v>
      </c>
    </row>
    <row r="591" spans="1:11" x14ac:dyDescent="0.2">
      <c r="A591" t="s">
        <v>1886</v>
      </c>
      <c r="B591" t="s">
        <v>315</v>
      </c>
      <c r="C591" t="s">
        <v>2326</v>
      </c>
      <c r="D591" t="s">
        <v>2327</v>
      </c>
      <c r="E591" t="s">
        <v>2328</v>
      </c>
      <c r="F591" t="s">
        <v>17</v>
      </c>
      <c r="G591" t="s">
        <v>12</v>
      </c>
      <c r="H591">
        <f>84405*(1.01^10)</f>
        <v>93235.630495332734</v>
      </c>
      <c r="I591">
        <f>487458*(1.01^10)</f>
        <v>538456.89200869505</v>
      </c>
      <c r="J591" t="s">
        <v>2329</v>
      </c>
      <c r="K591">
        <f t="shared" si="9"/>
        <v>179.70041100418419</v>
      </c>
    </row>
    <row r="592" spans="1:11" x14ac:dyDescent="0.2">
      <c r="A592" t="s">
        <v>1886</v>
      </c>
      <c r="B592" t="s">
        <v>315</v>
      </c>
      <c r="C592" t="s">
        <v>2330</v>
      </c>
      <c r="D592" t="s">
        <v>2331</v>
      </c>
      <c r="E592" t="s">
        <v>36</v>
      </c>
      <c r="F592" t="s">
        <v>17</v>
      </c>
      <c r="G592" t="s">
        <v>24</v>
      </c>
      <c r="H592">
        <f>36806*(1.01^10)</f>
        <v>40656.721947884806</v>
      </c>
      <c r="I592">
        <f>206831*(1.01^10)</f>
        <v>228470.09882092488</v>
      </c>
      <c r="J592" t="s">
        <v>2332</v>
      </c>
      <c r="K592">
        <f t="shared" si="9"/>
        <v>223.2424084230268</v>
      </c>
    </row>
    <row r="593" spans="1:11" x14ac:dyDescent="0.2">
      <c r="A593" t="s">
        <v>1886</v>
      </c>
      <c r="B593" t="s">
        <v>839</v>
      </c>
      <c r="C593" t="s">
        <v>2333</v>
      </c>
      <c r="D593" t="s">
        <v>2334</v>
      </c>
      <c r="E593" t="s">
        <v>535</v>
      </c>
      <c r="F593" t="s">
        <v>12</v>
      </c>
      <c r="G593" t="s">
        <v>12</v>
      </c>
      <c r="H593">
        <f>29077*(1.01^10)</f>
        <v>32119.097540581599</v>
      </c>
      <c r="I593">
        <f>142329*(1.01^10)</f>
        <v>157219.76248765137</v>
      </c>
      <c r="J593" t="s">
        <v>2335</v>
      </c>
      <c r="K593">
        <f t="shared" si="9"/>
        <v>177.75622973435742</v>
      </c>
    </row>
    <row r="594" spans="1:11" x14ac:dyDescent="0.2">
      <c r="A594" t="s">
        <v>1886</v>
      </c>
      <c r="B594" t="s">
        <v>839</v>
      </c>
      <c r="C594" t="s">
        <v>2336</v>
      </c>
      <c r="D594" t="s">
        <v>2337</v>
      </c>
      <c r="E594" t="s">
        <v>498</v>
      </c>
      <c r="F594" t="s">
        <v>17</v>
      </c>
      <c r="G594" t="s">
        <v>17</v>
      </c>
      <c r="H594">
        <f>37936*(1.01^10)</f>
        <v>41904.944949599463</v>
      </c>
      <c r="I594">
        <f>186079*(1.01^10)</f>
        <v>205546.98047439157</v>
      </c>
      <c r="J594" t="s">
        <v>2338</v>
      </c>
      <c r="K594">
        <f t="shared" si="9"/>
        <v>174.92357015332769</v>
      </c>
    </row>
    <row r="595" spans="1:11" x14ac:dyDescent="0.2">
      <c r="A595" t="s">
        <v>1886</v>
      </c>
      <c r="B595" t="s">
        <v>839</v>
      </c>
      <c r="C595" t="s">
        <v>2339</v>
      </c>
      <c r="D595" t="s">
        <v>2340</v>
      </c>
      <c r="E595" t="s">
        <v>1617</v>
      </c>
      <c r="F595" t="s">
        <v>12</v>
      </c>
      <c r="G595" t="s">
        <v>17</v>
      </c>
      <c r="H595">
        <f>50311*(1.01^10)</f>
        <v>55574.643751563119</v>
      </c>
      <c r="I595">
        <f>261686*(1.01^10)</f>
        <v>289064.14551035652</v>
      </c>
      <c r="J595" t="s">
        <v>2341</v>
      </c>
      <c r="K595">
        <f t="shared" si="9"/>
        <v>259.75269569308267</v>
      </c>
    </row>
    <row r="596" spans="1:11" x14ac:dyDescent="0.2">
      <c r="A596" t="s">
        <v>1886</v>
      </c>
      <c r="B596" t="s">
        <v>839</v>
      </c>
      <c r="C596" t="s">
        <v>2343</v>
      </c>
      <c r="D596" t="s">
        <v>2344</v>
      </c>
      <c r="E596" t="s">
        <v>253</v>
      </c>
      <c r="F596" t="s">
        <v>11</v>
      </c>
      <c r="G596" t="s">
        <v>11</v>
      </c>
      <c r="H596">
        <f>43041*(1.01^10)</f>
        <v>47544.040899823667</v>
      </c>
      <c r="I596">
        <f>224404*(1.01^10)</f>
        <v>247881.623430776</v>
      </c>
      <c r="J596" t="s">
        <v>2345</v>
      </c>
      <c r="K596">
        <f t="shared" si="9"/>
        <v>282.06394971103384</v>
      </c>
    </row>
    <row r="597" spans="1:11" x14ac:dyDescent="0.2">
      <c r="A597" t="s">
        <v>1886</v>
      </c>
      <c r="B597" t="s">
        <v>839</v>
      </c>
      <c r="C597" t="s">
        <v>2347</v>
      </c>
      <c r="D597" t="s">
        <v>2348</v>
      </c>
      <c r="E597" t="s">
        <v>766</v>
      </c>
      <c r="F597" t="s">
        <v>24</v>
      </c>
      <c r="G597" t="s">
        <v>12</v>
      </c>
      <c r="H597">
        <f>41420*(1.01^10)</f>
        <v>45753.448434532103</v>
      </c>
      <c r="I597">
        <f>221848*(1.01^10)</f>
        <v>245058.20927822494</v>
      </c>
      <c r="J597" t="s">
        <v>2349</v>
      </c>
      <c r="K597">
        <f t="shared" si="9"/>
        <v>225.89992727455214</v>
      </c>
    </row>
    <row r="598" spans="1:11" x14ac:dyDescent="0.2">
      <c r="A598" t="s">
        <v>1886</v>
      </c>
      <c r="B598" t="s">
        <v>4</v>
      </c>
      <c r="C598" t="s">
        <v>2350</v>
      </c>
      <c r="D598" t="s">
        <v>2351</v>
      </c>
      <c r="E598" t="s">
        <v>1944</v>
      </c>
      <c r="F598" t="s">
        <v>92</v>
      </c>
      <c r="G598" t="s">
        <v>12</v>
      </c>
      <c r="H598">
        <f>46753*(1.01^10)</f>
        <v>51644.398229350052</v>
      </c>
      <c r="I598">
        <f>226776*(1.01^10)</f>
        <v>250501.78711225136</v>
      </c>
      <c r="J598" t="s">
        <v>2352</v>
      </c>
      <c r="K598">
        <f t="shared" si="9"/>
        <v>181.66671857808544</v>
      </c>
    </row>
    <row r="599" spans="1:11" x14ac:dyDescent="0.2">
      <c r="A599" t="s">
        <v>1886</v>
      </c>
      <c r="B599" t="s">
        <v>4</v>
      </c>
      <c r="C599" t="s">
        <v>2353</v>
      </c>
      <c r="D599" t="s">
        <v>2354</v>
      </c>
      <c r="E599" t="s">
        <v>771</v>
      </c>
      <c r="F599" t="s">
        <v>5</v>
      </c>
      <c r="G599" t="s">
        <v>24</v>
      </c>
      <c r="H599">
        <f>43600*(1.01^10)</f>
        <v>48161.524667928526</v>
      </c>
      <c r="I599">
        <f>205254*(1.01^10)</f>
        <v>226728.10972915142</v>
      </c>
      <c r="J599" t="s">
        <v>2355</v>
      </c>
      <c r="K599">
        <f t="shared" si="9"/>
        <v>205.94403838767627</v>
      </c>
    </row>
    <row r="600" spans="1:11" x14ac:dyDescent="0.2">
      <c r="A600" t="s">
        <v>1886</v>
      </c>
      <c r="B600" t="s">
        <v>4</v>
      </c>
      <c r="C600" t="s">
        <v>2356</v>
      </c>
      <c r="D600" t="s">
        <v>2357</v>
      </c>
      <c r="E600" t="s">
        <v>404</v>
      </c>
      <c r="F600" t="s">
        <v>24</v>
      </c>
      <c r="G600" t="s">
        <v>17</v>
      </c>
      <c r="H600">
        <f>46765*(1.01^10)</f>
        <v>51657.653694854991</v>
      </c>
      <c r="I600">
        <f>220854*(1.01^10)</f>
        <v>243960.21488556621</v>
      </c>
      <c r="J600" t="s">
        <v>2358</v>
      </c>
      <c r="K600">
        <f t="shared" si="9"/>
        <v>142.33670825256684</v>
      </c>
    </row>
    <row r="601" spans="1:11" x14ac:dyDescent="0.2">
      <c r="A601" t="s">
        <v>1886</v>
      </c>
      <c r="B601" t="s">
        <v>4</v>
      </c>
      <c r="C601" t="s">
        <v>2359</v>
      </c>
      <c r="D601" t="s">
        <v>2360</v>
      </c>
      <c r="E601" t="s">
        <v>1229</v>
      </c>
      <c r="F601" t="s">
        <v>24</v>
      </c>
      <c r="G601" t="s">
        <v>24</v>
      </c>
      <c r="H601">
        <f>22288*(1.01^10)</f>
        <v>24619.817931164933</v>
      </c>
      <c r="I601">
        <f>120963*(1.01^10)</f>
        <v>133618.40615611555</v>
      </c>
      <c r="J601" t="s">
        <v>2361</v>
      </c>
      <c r="K601">
        <f t="shared" si="9"/>
        <v>93.450263550785536</v>
      </c>
    </row>
    <row r="602" spans="1:11" x14ac:dyDescent="0.2">
      <c r="A602" t="s">
        <v>1886</v>
      </c>
      <c r="B602" t="s">
        <v>4</v>
      </c>
      <c r="C602" t="s">
        <v>2362</v>
      </c>
      <c r="D602" t="s">
        <v>2363</v>
      </c>
      <c r="E602" t="s">
        <v>368</v>
      </c>
      <c r="F602" t="s">
        <v>17</v>
      </c>
      <c r="G602" t="s">
        <v>12</v>
      </c>
      <c r="H602">
        <f>72248*(1.01^10)</f>
        <v>79806.739316708714</v>
      </c>
      <c r="I602">
        <f>368386*(1.01^10)</f>
        <v>406927.32629173208</v>
      </c>
      <c r="J602" t="s">
        <v>2364</v>
      </c>
      <c r="K602">
        <f t="shared" si="9"/>
        <v>245.55919152721904</v>
      </c>
    </row>
    <row r="603" spans="1:11" x14ac:dyDescent="0.2">
      <c r="A603" t="s">
        <v>1886</v>
      </c>
      <c r="B603" t="s">
        <v>4</v>
      </c>
      <c r="C603" t="s">
        <v>2365</v>
      </c>
      <c r="D603" t="s">
        <v>2366</v>
      </c>
      <c r="E603" t="s">
        <v>540</v>
      </c>
      <c r="F603" t="s">
        <v>24</v>
      </c>
      <c r="G603" t="s">
        <v>12</v>
      </c>
      <c r="H603">
        <f>44014*(1.01^10)</f>
        <v>48618.838227848762</v>
      </c>
      <c r="I603">
        <f>198978*(1.01^10)</f>
        <v>219795.5012700707</v>
      </c>
      <c r="J603" t="s">
        <v>2367</v>
      </c>
      <c r="K603">
        <f t="shared" si="9"/>
        <v>157.10290292461568</v>
      </c>
    </row>
    <row r="604" spans="1:11" x14ac:dyDescent="0.2">
      <c r="A604" t="s">
        <v>1886</v>
      </c>
      <c r="B604" t="s">
        <v>4</v>
      </c>
      <c r="C604" t="s">
        <v>2368</v>
      </c>
      <c r="D604" t="s">
        <v>2369</v>
      </c>
      <c r="E604" t="s">
        <v>1233</v>
      </c>
      <c r="F604" t="s">
        <v>24</v>
      </c>
      <c r="G604" t="s">
        <v>17</v>
      </c>
      <c r="H604">
        <f>48895*(1.01^10)</f>
        <v>54010.498821980858</v>
      </c>
      <c r="I604">
        <f>234337*(1.01^10)</f>
        <v>258853.83500248549</v>
      </c>
      <c r="J604" t="s">
        <v>2370</v>
      </c>
      <c r="K604">
        <f t="shared" si="9"/>
        <v>195.9502946535226</v>
      </c>
    </row>
    <row r="605" spans="1:11" x14ac:dyDescent="0.2">
      <c r="A605" t="s">
        <v>1886</v>
      </c>
      <c r="B605" t="s">
        <v>4</v>
      </c>
      <c r="C605" t="s">
        <v>2371</v>
      </c>
      <c r="D605" t="s">
        <v>2372</v>
      </c>
      <c r="E605" t="s">
        <v>232</v>
      </c>
      <c r="F605" t="s">
        <v>17</v>
      </c>
      <c r="G605" t="s">
        <v>17</v>
      </c>
      <c r="H605">
        <f>40761*(1.01^10)</f>
        <v>45025.502453886118</v>
      </c>
      <c r="I605">
        <f>198125*(1.01^10)</f>
        <v>218853.25859709494</v>
      </c>
      <c r="J605" t="s">
        <v>2373</v>
      </c>
      <c r="K605">
        <f t="shared" si="9"/>
        <v>225.50493265446127</v>
      </c>
    </row>
    <row r="606" spans="1:11" x14ac:dyDescent="0.2">
      <c r="A606" t="s">
        <v>1886</v>
      </c>
      <c r="B606" t="s">
        <v>4</v>
      </c>
      <c r="C606" t="s">
        <v>2374</v>
      </c>
      <c r="D606" t="s">
        <v>2375</v>
      </c>
      <c r="E606" t="s">
        <v>1328</v>
      </c>
      <c r="F606" t="s">
        <v>24</v>
      </c>
      <c r="G606" t="s">
        <v>17</v>
      </c>
      <c r="H606">
        <f>52833*(1.01^10)</f>
        <v>58360.500751850181</v>
      </c>
      <c r="I606">
        <f>263900*(1.01^10)</f>
        <v>291509.77889601694</v>
      </c>
      <c r="J606" t="s">
        <v>2376</v>
      </c>
      <c r="K606">
        <f t="shared" si="9"/>
        <v>205.92161869972153</v>
      </c>
    </row>
    <row r="607" spans="1:11" x14ac:dyDescent="0.2">
      <c r="A607" t="s">
        <v>1886</v>
      </c>
      <c r="B607" t="s">
        <v>399</v>
      </c>
      <c r="C607" t="s">
        <v>2377</v>
      </c>
      <c r="D607" t="s">
        <v>2378</v>
      </c>
      <c r="E607" t="s">
        <v>809</v>
      </c>
      <c r="F607" t="s">
        <v>5</v>
      </c>
      <c r="G607" t="s">
        <v>12</v>
      </c>
      <c r="H607">
        <f>74837*(1.01^10)</f>
        <v>82666.605999398336</v>
      </c>
      <c r="I607">
        <f>418231*(1.01^10)</f>
        <v>461987.21613285359</v>
      </c>
      <c r="J607" t="s">
        <v>2379</v>
      </c>
      <c r="K607">
        <f t="shared" si="9"/>
        <v>269.43577889718017</v>
      </c>
    </row>
    <row r="608" spans="1:11" x14ac:dyDescent="0.2">
      <c r="A608" t="s">
        <v>1886</v>
      </c>
      <c r="B608" t="s">
        <v>399</v>
      </c>
      <c r="C608" t="s">
        <v>2380</v>
      </c>
      <c r="D608" t="s">
        <v>2381</v>
      </c>
      <c r="E608" t="s">
        <v>879</v>
      </c>
      <c r="F608" t="s">
        <v>24</v>
      </c>
      <c r="G608" t="s">
        <v>5</v>
      </c>
      <c r="H608">
        <f>156701*(1.01^10)</f>
        <v>173095.39167406119</v>
      </c>
      <c r="I608">
        <f>798454*(1.01^10)</f>
        <v>881989.95452307805</v>
      </c>
      <c r="J608" t="s">
        <v>2382</v>
      </c>
      <c r="K608">
        <f t="shared" si="9"/>
        <v>983.20404705857459</v>
      </c>
    </row>
    <row r="609" spans="1:11" x14ac:dyDescent="0.2">
      <c r="A609" t="s">
        <v>1886</v>
      </c>
      <c r="B609" t="s">
        <v>399</v>
      </c>
      <c r="C609" t="s">
        <v>2383</v>
      </c>
      <c r="D609" t="s">
        <v>2384</v>
      </c>
      <c r="E609" t="s">
        <v>67</v>
      </c>
      <c r="F609" t="s">
        <v>24</v>
      </c>
      <c r="G609" t="s">
        <v>24</v>
      </c>
      <c r="H609">
        <f>23968*(1.01^10)</f>
        <v>26475.583101855755</v>
      </c>
      <c r="I609">
        <f>127803*(1.01^10)</f>
        <v>141174.02149392819</v>
      </c>
      <c r="J609" t="s">
        <v>2385</v>
      </c>
      <c r="K609">
        <f t="shared" si="9"/>
        <v>215.91397954062057</v>
      </c>
    </row>
    <row r="610" spans="1:11" x14ac:dyDescent="0.2">
      <c r="A610" t="s">
        <v>1886</v>
      </c>
      <c r="B610" t="s">
        <v>399</v>
      </c>
      <c r="C610" t="s">
        <v>2386</v>
      </c>
      <c r="D610" t="s">
        <v>2387</v>
      </c>
      <c r="E610" t="s">
        <v>301</v>
      </c>
      <c r="F610" t="s">
        <v>12</v>
      </c>
      <c r="G610" t="s">
        <v>12</v>
      </c>
      <c r="H610">
        <f>68739*(1.01^10)</f>
        <v>75930.62027864081</v>
      </c>
      <c r="I610">
        <f>342935*(1.01^10)</f>
        <v>378813.58857789153</v>
      </c>
      <c r="J610" t="s">
        <v>2388</v>
      </c>
      <c r="K610">
        <f t="shared" si="9"/>
        <v>551.07678123677317</v>
      </c>
    </row>
    <row r="611" spans="1:11" x14ac:dyDescent="0.2">
      <c r="A611" t="s">
        <v>1886</v>
      </c>
      <c r="B611" t="s">
        <v>399</v>
      </c>
      <c r="C611" t="s">
        <v>2389</v>
      </c>
      <c r="D611" t="s">
        <v>2390</v>
      </c>
      <c r="E611" t="s">
        <v>833</v>
      </c>
      <c r="F611" t="s">
        <v>11</v>
      </c>
      <c r="G611" t="s">
        <v>17</v>
      </c>
      <c r="H611">
        <f>43609*(1.01^10)</f>
        <v>48171.466267057229</v>
      </c>
      <c r="I611">
        <f>224181*(1.01^10)</f>
        <v>247635.29269680928</v>
      </c>
      <c r="J611" t="s">
        <v>2391</v>
      </c>
      <c r="K611">
        <f t="shared" si="9"/>
        <v>283.07997968891158</v>
      </c>
    </row>
    <row r="612" spans="1:11" x14ac:dyDescent="0.2">
      <c r="A612" t="s">
        <v>1886</v>
      </c>
      <c r="B612" t="s">
        <v>399</v>
      </c>
      <c r="C612" t="s">
        <v>2393</v>
      </c>
      <c r="D612" t="s">
        <v>2394</v>
      </c>
      <c r="E612" t="s">
        <v>2395</v>
      </c>
      <c r="F612" t="s">
        <v>24</v>
      </c>
      <c r="G612" t="s">
        <v>12</v>
      </c>
      <c r="H612">
        <f>33865*(1.01^10)</f>
        <v>37408.028277050449</v>
      </c>
      <c r="I612">
        <f>187486*(1.01^10)</f>
        <v>207101.18380484515</v>
      </c>
      <c r="J612" t="s">
        <v>2396</v>
      </c>
      <c r="K612">
        <f t="shared" si="9"/>
        <v>267.12573062430255</v>
      </c>
    </row>
    <row r="613" spans="1:11" x14ac:dyDescent="0.2">
      <c r="A613" t="s">
        <v>1886</v>
      </c>
      <c r="B613" t="s">
        <v>399</v>
      </c>
      <c r="C613" t="s">
        <v>2397</v>
      </c>
      <c r="D613" t="s">
        <v>2398</v>
      </c>
      <c r="E613" t="s">
        <v>36</v>
      </c>
      <c r="F613" t="s">
        <v>24</v>
      </c>
      <c r="G613" t="s">
        <v>24</v>
      </c>
      <c r="H613">
        <f>23916*(1.01^10)</f>
        <v>26418.142751334373</v>
      </c>
      <c r="I613">
        <f>126466*(1.01^10)</f>
        <v>139697.14171225342</v>
      </c>
      <c r="J613" t="s">
        <v>2399</v>
      </c>
      <c r="K613">
        <f t="shared" si="9"/>
        <v>170.24903004124164</v>
      </c>
    </row>
    <row r="614" spans="1:11" x14ac:dyDescent="0.2">
      <c r="A614" t="s">
        <v>1886</v>
      </c>
      <c r="B614" t="s">
        <v>399</v>
      </c>
      <c r="C614" t="s">
        <v>2401</v>
      </c>
      <c r="D614" t="s">
        <v>2402</v>
      </c>
      <c r="E614" t="s">
        <v>436</v>
      </c>
      <c r="F614" t="s">
        <v>17</v>
      </c>
      <c r="G614" t="s">
        <v>12</v>
      </c>
      <c r="H614">
        <f>28507*(1.01^10)</f>
        <v>31489.462929097215</v>
      </c>
      <c r="I614">
        <f>154738*(1.01^10)</f>
        <v>170927.01844187899</v>
      </c>
      <c r="J614" t="s">
        <v>2403</v>
      </c>
      <c r="K614">
        <f t="shared" si="9"/>
        <v>162.57950525383794</v>
      </c>
    </row>
    <row r="615" spans="1:11" x14ac:dyDescent="0.2">
      <c r="A615" t="s">
        <v>1886</v>
      </c>
      <c r="B615" t="s">
        <v>399</v>
      </c>
      <c r="C615" t="s">
        <v>2404</v>
      </c>
      <c r="D615" t="s">
        <v>2405</v>
      </c>
      <c r="E615" t="s">
        <v>28</v>
      </c>
      <c r="F615" t="s">
        <v>17</v>
      </c>
      <c r="G615" t="s">
        <v>12</v>
      </c>
      <c r="H615">
        <f>40690*(1.01^10)</f>
        <v>44947.074282981921</v>
      </c>
      <c r="I615">
        <f>202758*(1.01^10)</f>
        <v>223970.97290412505</v>
      </c>
      <c r="J615" t="s">
        <v>2406</v>
      </c>
      <c r="K615">
        <f t="shared" si="9"/>
        <v>222.62144956139207</v>
      </c>
    </row>
    <row r="616" spans="1:11" x14ac:dyDescent="0.2">
      <c r="A616" t="s">
        <v>1886</v>
      </c>
      <c r="B616" t="s">
        <v>2283</v>
      </c>
      <c r="C616" t="s">
        <v>2407</v>
      </c>
      <c r="D616" t="s">
        <v>2408</v>
      </c>
      <c r="E616" t="s">
        <v>1140</v>
      </c>
      <c r="F616" t="s">
        <v>6</v>
      </c>
      <c r="G616" t="s">
        <v>12</v>
      </c>
      <c r="H616">
        <f>45047*(1.01^10)</f>
        <v>49759.912883398538</v>
      </c>
      <c r="I616">
        <f>240909*(1.01^10)</f>
        <v>266113.41161068791</v>
      </c>
      <c r="J616" t="s">
        <v>2409</v>
      </c>
      <c r="K616">
        <f t="shared" si="9"/>
        <v>178.56115999064974</v>
      </c>
    </row>
    <row r="617" spans="1:11" x14ac:dyDescent="0.2">
      <c r="A617" t="s">
        <v>1886</v>
      </c>
      <c r="B617" t="s">
        <v>2283</v>
      </c>
      <c r="C617" t="s">
        <v>2411</v>
      </c>
      <c r="D617" t="s">
        <v>2412</v>
      </c>
      <c r="E617" t="s">
        <v>4</v>
      </c>
      <c r="F617" t="s">
        <v>152</v>
      </c>
      <c r="G617" t="s">
        <v>24</v>
      </c>
      <c r="H617">
        <f>21913*(1.01^10)</f>
        <v>24205.584634135728</v>
      </c>
      <c r="I617">
        <f>117644*(1.01^10)</f>
        <v>129952.16532187577</v>
      </c>
      <c r="J617" t="s">
        <v>2413</v>
      </c>
      <c r="K617">
        <f t="shared" si="9"/>
        <v>187.68417098377833</v>
      </c>
    </row>
    <row r="618" spans="1:11" x14ac:dyDescent="0.2">
      <c r="A618" t="s">
        <v>1886</v>
      </c>
      <c r="B618" t="s">
        <v>2283</v>
      </c>
      <c r="C618" t="s">
        <v>2414</v>
      </c>
      <c r="D618" t="s">
        <v>2415</v>
      </c>
      <c r="E618" t="s">
        <v>624</v>
      </c>
      <c r="F618" t="s">
        <v>92</v>
      </c>
      <c r="G618" t="s">
        <v>17</v>
      </c>
      <c r="H618">
        <f>43146*(1.01^10)</f>
        <v>47660.026222991837</v>
      </c>
      <c r="I618">
        <f>245787*(1.01^10)</f>
        <v>271501.75833844376</v>
      </c>
      <c r="J618" t="s">
        <v>2416</v>
      </c>
      <c r="K618">
        <f t="shared" si="9"/>
        <v>276.99861496253487</v>
      </c>
    </row>
    <row r="619" spans="1:11" x14ac:dyDescent="0.2">
      <c r="A619" t="s">
        <v>1886</v>
      </c>
      <c r="B619" t="s">
        <v>2283</v>
      </c>
      <c r="C619" t="s">
        <v>2418</v>
      </c>
      <c r="D619" t="s">
        <v>2419</v>
      </c>
      <c r="E619" t="s">
        <v>1912</v>
      </c>
      <c r="F619" t="s">
        <v>152</v>
      </c>
      <c r="G619" t="s">
        <v>12</v>
      </c>
      <c r="H619">
        <f>52585*(1.01^10)</f>
        <v>58086.554464748202</v>
      </c>
      <c r="I619">
        <f>286808*(1.01^10)</f>
        <v>316814.4625449368</v>
      </c>
      <c r="J619" t="s">
        <v>2420</v>
      </c>
      <c r="K619">
        <f t="shared" si="9"/>
        <v>389.27599769834211</v>
      </c>
    </row>
    <row r="620" spans="1:11" x14ac:dyDescent="0.2">
      <c r="A620" t="s">
        <v>1886</v>
      </c>
      <c r="B620" t="s">
        <v>2283</v>
      </c>
      <c r="C620" t="s">
        <v>2422</v>
      </c>
      <c r="D620" t="s">
        <v>2423</v>
      </c>
      <c r="E620" t="s">
        <v>679</v>
      </c>
      <c r="F620" t="s">
        <v>744</v>
      </c>
      <c r="G620" t="s">
        <v>12</v>
      </c>
      <c r="H620">
        <f>27639*(1.01^10)</f>
        <v>30530.650924240286</v>
      </c>
      <c r="I620">
        <f>146870*(1.01^10)</f>
        <v>162235.85155914363</v>
      </c>
      <c r="J620" t="s">
        <v>2424</v>
      </c>
      <c r="K620">
        <f t="shared" si="9"/>
        <v>162.27637842433131</v>
      </c>
    </row>
    <row r="621" spans="1:11" x14ac:dyDescent="0.2">
      <c r="A621" t="s">
        <v>1886</v>
      </c>
      <c r="B621" t="s">
        <v>2283</v>
      </c>
      <c r="C621" t="s">
        <v>2425</v>
      </c>
      <c r="D621" t="s">
        <v>2426</v>
      </c>
      <c r="E621" t="s">
        <v>1115</v>
      </c>
      <c r="F621" t="s">
        <v>411</v>
      </c>
      <c r="G621" t="s">
        <v>12</v>
      </c>
      <c r="H621">
        <f>43632*(1.01^10)</f>
        <v>48196.872575941685</v>
      </c>
      <c r="I621">
        <f>214408*(1.01^10)</f>
        <v>236839.82066516558</v>
      </c>
      <c r="J621" t="s">
        <v>2427</v>
      </c>
      <c r="K621">
        <f t="shared" si="9"/>
        <v>193.1979256820764</v>
      </c>
    </row>
    <row r="622" spans="1:11" x14ac:dyDescent="0.2">
      <c r="A622" t="s">
        <v>1886</v>
      </c>
      <c r="B622" t="s">
        <v>2283</v>
      </c>
      <c r="C622" t="s">
        <v>2428</v>
      </c>
      <c r="D622" t="s">
        <v>2429</v>
      </c>
      <c r="E622" t="s">
        <v>1955</v>
      </c>
      <c r="F622" t="s">
        <v>458</v>
      </c>
      <c r="G622" t="s">
        <v>17</v>
      </c>
      <c r="H622">
        <f>32908*(1.01^10)</f>
        <v>36350.904903031929</v>
      </c>
      <c r="I622">
        <f>168900*(1.01^10)</f>
        <v>186570.67698195248</v>
      </c>
      <c r="J622" t="s">
        <v>2430</v>
      </c>
      <c r="K622">
        <f t="shared" si="9"/>
        <v>188.1477646593998</v>
      </c>
    </row>
    <row r="623" spans="1:11" x14ac:dyDescent="0.2">
      <c r="A623" t="s">
        <v>1886</v>
      </c>
      <c r="B623" t="s">
        <v>560</v>
      </c>
      <c r="C623" t="s">
        <v>2431</v>
      </c>
      <c r="D623" t="s">
        <v>2432</v>
      </c>
      <c r="E623" t="s">
        <v>203</v>
      </c>
      <c r="F623" t="s">
        <v>24</v>
      </c>
      <c r="G623" t="s">
        <v>24</v>
      </c>
      <c r="H623">
        <f>45311*(1.01^10)</f>
        <v>50051.533124507099</v>
      </c>
      <c r="I623">
        <f>221601*(1.01^10)</f>
        <v>244785.36761324838</v>
      </c>
      <c r="J623" t="s">
        <v>2433</v>
      </c>
      <c r="K623">
        <f t="shared" si="9"/>
        <v>180.5521956582426</v>
      </c>
    </row>
    <row r="624" spans="1:11" x14ac:dyDescent="0.2">
      <c r="A624" t="s">
        <v>1886</v>
      </c>
      <c r="B624" t="s">
        <v>560</v>
      </c>
      <c r="C624" t="s">
        <v>2434</v>
      </c>
      <c r="D624" t="s">
        <v>2435</v>
      </c>
      <c r="E624" t="s">
        <v>396</v>
      </c>
      <c r="F624" t="s">
        <v>24</v>
      </c>
      <c r="G624" t="s">
        <v>12</v>
      </c>
      <c r="H624">
        <f>39370*(1.01^10)</f>
        <v>43488.973077439128</v>
      </c>
      <c r="I624">
        <f>196070*(1.01^10)</f>
        <v>216583.26012937492</v>
      </c>
      <c r="J624" t="s">
        <v>2436</v>
      </c>
      <c r="K624">
        <f t="shared" si="9"/>
        <v>181.69470835470327</v>
      </c>
    </row>
    <row r="625" spans="1:11" x14ac:dyDescent="0.2">
      <c r="A625" t="s">
        <v>1886</v>
      </c>
      <c r="B625" t="s">
        <v>560</v>
      </c>
      <c r="C625" t="s">
        <v>2437</v>
      </c>
      <c r="D625" t="s">
        <v>2438</v>
      </c>
      <c r="E625" t="s">
        <v>315</v>
      </c>
      <c r="F625" t="s">
        <v>11</v>
      </c>
      <c r="G625" t="s">
        <v>11</v>
      </c>
      <c r="H625">
        <f>26395*(1.01^10)</f>
        <v>29156.501000228749</v>
      </c>
      <c r="I625">
        <f>127715*(1.01^10)</f>
        <v>141076.81474689202</v>
      </c>
      <c r="J625" t="s">
        <v>2439</v>
      </c>
      <c r="K625">
        <f t="shared" si="9"/>
        <v>219.01895613550676</v>
      </c>
    </row>
    <row r="626" spans="1:11" x14ac:dyDescent="0.2">
      <c r="A626" t="s">
        <v>1886</v>
      </c>
      <c r="B626" t="s">
        <v>560</v>
      </c>
      <c r="C626" t="s">
        <v>2440</v>
      </c>
      <c r="D626" t="s">
        <v>2441</v>
      </c>
      <c r="E626" t="s">
        <v>436</v>
      </c>
      <c r="F626" t="s">
        <v>12</v>
      </c>
      <c r="G626" t="s">
        <v>17</v>
      </c>
      <c r="H626">
        <f>30006*(1.01^10)</f>
        <v>33145.291495088612</v>
      </c>
      <c r="I626">
        <f>153987*(1.01^10)</f>
        <v>170097.44722569518</v>
      </c>
      <c r="J626" t="s">
        <v>2442</v>
      </c>
      <c r="K626">
        <f t="shared" si="9"/>
        <v>243.81643772383677</v>
      </c>
    </row>
    <row r="627" spans="1:11" x14ac:dyDescent="0.2">
      <c r="A627" t="s">
        <v>1886</v>
      </c>
      <c r="B627" t="s">
        <v>560</v>
      </c>
      <c r="C627" t="s">
        <v>2443</v>
      </c>
      <c r="D627" t="s">
        <v>2444</v>
      </c>
      <c r="E627" t="s">
        <v>743</v>
      </c>
      <c r="F627" t="s">
        <v>17</v>
      </c>
      <c r="G627" t="s">
        <v>11</v>
      </c>
      <c r="H627">
        <f>79686*(1.01^10)</f>
        <v>88022.918685517259</v>
      </c>
      <c r="I627">
        <f>411533*(1.01^10)</f>
        <v>454588.45713684935</v>
      </c>
      <c r="J627" t="s">
        <v>2445</v>
      </c>
      <c r="K627">
        <f t="shared" si="9"/>
        <v>240.97760969765847</v>
      </c>
    </row>
    <row r="628" spans="1:11" x14ac:dyDescent="0.2">
      <c r="A628" t="s">
        <v>1886</v>
      </c>
      <c r="B628" t="s">
        <v>479</v>
      </c>
      <c r="C628" t="s">
        <v>2446</v>
      </c>
      <c r="D628" t="s">
        <v>2447</v>
      </c>
      <c r="E628" t="s">
        <v>1955</v>
      </c>
      <c r="F628" t="s">
        <v>24</v>
      </c>
      <c r="G628" t="s">
        <v>12</v>
      </c>
      <c r="H628">
        <f>52901*(1.01^10)</f>
        <v>58435.615056378141</v>
      </c>
      <c r="I628">
        <f>254130*(1.01^10)</f>
        <v>280717.62073074945</v>
      </c>
      <c r="J628" t="s">
        <v>2448</v>
      </c>
      <c r="K628">
        <f t="shared" si="9"/>
        <v>248.17985296286056</v>
      </c>
    </row>
    <row r="629" spans="1:11" x14ac:dyDescent="0.2">
      <c r="A629" t="s">
        <v>1886</v>
      </c>
      <c r="B629" t="s">
        <v>479</v>
      </c>
      <c r="C629" t="s">
        <v>2449</v>
      </c>
      <c r="D629" t="s">
        <v>2450</v>
      </c>
      <c r="E629" t="s">
        <v>253</v>
      </c>
      <c r="F629" t="s">
        <v>24</v>
      </c>
      <c r="G629" t="s">
        <v>12</v>
      </c>
      <c r="H629">
        <f>27366*(1.01^10)</f>
        <v>30229.08908400303</v>
      </c>
      <c r="I629">
        <f>138643*(1.01^10)</f>
        <v>153148.12533338566</v>
      </c>
      <c r="J629" t="s">
        <v>2451</v>
      </c>
      <c r="K629">
        <f t="shared" si="9"/>
        <v>250.78699259782718</v>
      </c>
    </row>
    <row r="630" spans="1:11" x14ac:dyDescent="0.2">
      <c r="A630" t="s">
        <v>1886</v>
      </c>
      <c r="B630" t="s">
        <v>479</v>
      </c>
      <c r="C630" t="s">
        <v>2452</v>
      </c>
      <c r="D630" t="s">
        <v>2170</v>
      </c>
      <c r="E630" t="s">
        <v>2410</v>
      </c>
      <c r="F630" t="s">
        <v>5</v>
      </c>
      <c r="G630" t="s">
        <v>12</v>
      </c>
      <c r="H630">
        <f>41705*(1.01^10)</f>
        <v>46068.265740274292</v>
      </c>
      <c r="I630">
        <f>207020*(1.01^10)</f>
        <v>228678.8724026276</v>
      </c>
      <c r="J630" t="s">
        <v>2453</v>
      </c>
      <c r="K630">
        <f t="shared" si="9"/>
        <v>202.65394441009235</v>
      </c>
    </row>
    <row r="631" spans="1:11" x14ac:dyDescent="0.2">
      <c r="A631" t="s">
        <v>1886</v>
      </c>
      <c r="B631" t="s">
        <v>479</v>
      </c>
      <c r="C631" t="s">
        <v>2454</v>
      </c>
      <c r="D631" t="s">
        <v>2455</v>
      </c>
      <c r="E631" t="s">
        <v>324</v>
      </c>
      <c r="F631" t="s">
        <v>92</v>
      </c>
      <c r="G631" t="s">
        <v>24</v>
      </c>
      <c r="H631">
        <f>24970*(1.01^10)</f>
        <v>27582.414471517783</v>
      </c>
      <c r="I631">
        <f>123714*(1.01^10)</f>
        <v>136657.22162312179</v>
      </c>
      <c r="J631" t="s">
        <v>2456</v>
      </c>
      <c r="K631">
        <f t="shared" si="9"/>
        <v>206.81061403166137</v>
      </c>
    </row>
    <row r="632" spans="1:11" x14ac:dyDescent="0.2">
      <c r="A632" t="s">
        <v>1886</v>
      </c>
      <c r="B632" t="s">
        <v>479</v>
      </c>
      <c r="C632" t="s">
        <v>2457</v>
      </c>
      <c r="D632" t="s">
        <v>2458</v>
      </c>
      <c r="E632" t="s">
        <v>1994</v>
      </c>
      <c r="F632" t="s">
        <v>11</v>
      </c>
      <c r="G632" t="s">
        <v>24</v>
      </c>
      <c r="H632">
        <f>49211*(1.01^10)</f>
        <v>54359.559413610797</v>
      </c>
      <c r="I632">
        <f>235640*(1.01^10)</f>
        <v>260293.15763189629</v>
      </c>
      <c r="J632" t="s">
        <v>2459</v>
      </c>
      <c r="K632">
        <f t="shared" si="9"/>
        <v>213.56141925993569</v>
      </c>
    </row>
    <row r="633" spans="1:11" x14ac:dyDescent="0.2">
      <c r="A633" t="s">
        <v>1886</v>
      </c>
      <c r="B633" t="s">
        <v>479</v>
      </c>
      <c r="C633" t="s">
        <v>2460</v>
      </c>
      <c r="D633" t="s">
        <v>2354</v>
      </c>
      <c r="E633" t="s">
        <v>1387</v>
      </c>
      <c r="F633" t="s">
        <v>11</v>
      </c>
      <c r="G633" t="s">
        <v>24</v>
      </c>
      <c r="H633">
        <f>19936*(1.01^10)</f>
        <v>22021.746692197779</v>
      </c>
      <c r="I633">
        <f>97869*(1.01^10)</f>
        <v>108108.2627918692</v>
      </c>
      <c r="J633" t="s">
        <v>2461</v>
      </c>
      <c r="K633">
        <f t="shared" si="9"/>
        <v>212.62703720829603</v>
      </c>
    </row>
    <row r="634" spans="1:11" x14ac:dyDescent="0.2">
      <c r="A634" t="s">
        <v>1886</v>
      </c>
      <c r="B634" t="s">
        <v>479</v>
      </c>
      <c r="C634" t="s">
        <v>2462</v>
      </c>
      <c r="D634" t="s">
        <v>2463</v>
      </c>
      <c r="E634" t="s">
        <v>489</v>
      </c>
      <c r="F634" t="s">
        <v>5</v>
      </c>
      <c r="G634" t="s">
        <v>12</v>
      </c>
      <c r="H634">
        <f>27855*(1.01^10)</f>
        <v>30769.249303329107</v>
      </c>
      <c r="I634">
        <f>135086*(1.01^10)</f>
        <v>149218.984433298</v>
      </c>
      <c r="J634" t="s">
        <v>2464</v>
      </c>
      <c r="K634">
        <f t="shared" si="9"/>
        <v>226.31453485238973</v>
      </c>
    </row>
    <row r="635" spans="1:11" x14ac:dyDescent="0.2">
      <c r="A635" t="s">
        <v>1886</v>
      </c>
      <c r="B635" t="s">
        <v>479</v>
      </c>
      <c r="C635" t="s">
        <v>2465</v>
      </c>
      <c r="D635" t="s">
        <v>2466</v>
      </c>
      <c r="E635" t="s">
        <v>320</v>
      </c>
      <c r="F635" t="s">
        <v>12</v>
      </c>
      <c r="G635" t="s">
        <v>17</v>
      </c>
      <c r="H635">
        <f>115152*(1.01^10)</f>
        <v>127199.44698535105</v>
      </c>
      <c r="I635">
        <f>557761*(1.01^10)</f>
        <v>616115.141291479</v>
      </c>
      <c r="J635" t="s">
        <v>2467</v>
      </c>
      <c r="K635">
        <f t="shared" si="9"/>
        <v>635.79416369926344</v>
      </c>
    </row>
    <row r="636" spans="1:11" x14ac:dyDescent="0.2">
      <c r="A636" t="s">
        <v>1886</v>
      </c>
      <c r="B636" t="s">
        <v>479</v>
      </c>
      <c r="C636" t="s">
        <v>2469</v>
      </c>
      <c r="D636" t="s">
        <v>2470</v>
      </c>
      <c r="E636" t="s">
        <v>486</v>
      </c>
      <c r="F636" t="s">
        <v>24</v>
      </c>
      <c r="G636" t="s">
        <v>24</v>
      </c>
      <c r="H636">
        <f>35908*(1.01^10)</f>
        <v>39664.771279265537</v>
      </c>
      <c r="I636">
        <f>174701*(1.01^10)</f>
        <v>192978.58993146289</v>
      </c>
      <c r="J636" t="s">
        <v>2471</v>
      </c>
      <c r="K636">
        <f t="shared" si="9"/>
        <v>207.01333088318944</v>
      </c>
    </row>
    <row r="637" spans="1:11" x14ac:dyDescent="0.2">
      <c r="A637" t="s">
        <v>1886</v>
      </c>
      <c r="B637" t="s">
        <v>479</v>
      </c>
      <c r="C637" t="s">
        <v>2472</v>
      </c>
      <c r="D637" t="s">
        <v>2473</v>
      </c>
      <c r="E637" t="s">
        <v>1405</v>
      </c>
      <c r="F637" t="s">
        <v>744</v>
      </c>
      <c r="G637" t="s">
        <v>12</v>
      </c>
      <c r="H637">
        <f>46557*(1.01^10)</f>
        <v>51427.892292769458</v>
      </c>
      <c r="I637">
        <f>217773*(1.01^10)</f>
        <v>240556.8741171743</v>
      </c>
      <c r="J637" t="s">
        <v>2474</v>
      </c>
      <c r="K637">
        <f t="shared" si="9"/>
        <v>223.44861332087393</v>
      </c>
    </row>
    <row r="638" spans="1:11" x14ac:dyDescent="0.2">
      <c r="A638" t="s">
        <v>1886</v>
      </c>
      <c r="B638" t="s">
        <v>479</v>
      </c>
      <c r="C638" t="s">
        <v>2475</v>
      </c>
      <c r="D638" t="s">
        <v>2476</v>
      </c>
      <c r="E638" t="s">
        <v>971</v>
      </c>
      <c r="F638" t="s">
        <v>92</v>
      </c>
      <c r="G638" t="s">
        <v>12</v>
      </c>
      <c r="H638">
        <f>37825*(1.01^10)</f>
        <v>41782.33189367882</v>
      </c>
      <c r="I638">
        <f>176703*(1.01^10)</f>
        <v>195190.04342653611</v>
      </c>
      <c r="J638" t="s">
        <v>2477</v>
      </c>
      <c r="K638">
        <f t="shared" si="9"/>
        <v>210.02793959953848</v>
      </c>
    </row>
    <row r="639" spans="1:11" x14ac:dyDescent="0.2">
      <c r="A639" t="s">
        <v>1886</v>
      </c>
      <c r="B639" t="s">
        <v>479</v>
      </c>
      <c r="C639" t="s">
        <v>2478</v>
      </c>
      <c r="D639" t="s">
        <v>2479</v>
      </c>
      <c r="E639" t="s">
        <v>436</v>
      </c>
      <c r="F639" t="s">
        <v>405</v>
      </c>
      <c r="G639" t="s">
        <v>12</v>
      </c>
      <c r="H639">
        <f>18739*(1.01^10)</f>
        <v>20699.514008080565</v>
      </c>
      <c r="I639">
        <f>89483*(1.01^10)</f>
        <v>98844.901648170839</v>
      </c>
      <c r="J639" t="s">
        <v>2480</v>
      </c>
      <c r="K639">
        <f t="shared" si="9"/>
        <v>156.8335731901318</v>
      </c>
    </row>
    <row r="640" spans="1:11" x14ac:dyDescent="0.2">
      <c r="A640" t="s">
        <v>1886</v>
      </c>
      <c r="B640" t="s">
        <v>404</v>
      </c>
      <c r="C640" t="s">
        <v>2481</v>
      </c>
      <c r="D640" t="s">
        <v>2482</v>
      </c>
      <c r="E640" t="s">
        <v>759</v>
      </c>
      <c r="F640" t="s">
        <v>12</v>
      </c>
      <c r="G640" t="s">
        <v>12</v>
      </c>
      <c r="H640">
        <f>35808*(1.01^10)</f>
        <v>39554.309066724418</v>
      </c>
      <c r="I640">
        <f>171023*(1.01^10)</f>
        <v>188915.78975420046</v>
      </c>
      <c r="J640" t="s">
        <v>2483</v>
      </c>
      <c r="K640">
        <f t="shared" si="9"/>
        <v>280.95578383030352</v>
      </c>
    </row>
    <row r="641" spans="1:11" x14ac:dyDescent="0.2">
      <c r="A641" t="s">
        <v>1886</v>
      </c>
      <c r="B641" t="s">
        <v>404</v>
      </c>
      <c r="C641" t="s">
        <v>2485</v>
      </c>
      <c r="D641" t="s">
        <v>2486</v>
      </c>
      <c r="E641" t="s">
        <v>390</v>
      </c>
      <c r="F641" t="s">
        <v>11</v>
      </c>
      <c r="G641" t="s">
        <v>12</v>
      </c>
      <c r="H641">
        <f>23338*(1.01^10)</f>
        <v>25779.671162846695</v>
      </c>
      <c r="I641">
        <f>110723*(1.01^10)</f>
        <v>122307.07559190482</v>
      </c>
      <c r="J641" t="s">
        <v>2487</v>
      </c>
      <c r="K641">
        <f t="shared" si="9"/>
        <v>204.59236562652379</v>
      </c>
    </row>
    <row r="642" spans="1:11" x14ac:dyDescent="0.2">
      <c r="A642" t="s">
        <v>1886</v>
      </c>
      <c r="B642" t="s">
        <v>404</v>
      </c>
      <c r="C642" t="s">
        <v>2488</v>
      </c>
      <c r="D642" t="s">
        <v>2489</v>
      </c>
      <c r="E642" t="s">
        <v>413</v>
      </c>
      <c r="F642" t="s">
        <v>12</v>
      </c>
      <c r="G642" t="s">
        <v>17</v>
      </c>
      <c r="H642">
        <f>24568*(1.01^10)</f>
        <v>27138.356377102478</v>
      </c>
      <c r="I642">
        <f>118949*(1.01^10)</f>
        <v>131393.69719553739</v>
      </c>
      <c r="J642" t="s">
        <v>2490</v>
      </c>
      <c r="K642">
        <f t="shared" si="9"/>
        <v>247.53251508932365</v>
      </c>
    </row>
    <row r="643" spans="1:11" x14ac:dyDescent="0.2">
      <c r="A643" t="s">
        <v>1886</v>
      </c>
      <c r="B643" t="s">
        <v>404</v>
      </c>
      <c r="C643" t="s">
        <v>2491</v>
      </c>
      <c r="D643" t="s">
        <v>2492</v>
      </c>
      <c r="E643" t="s">
        <v>806</v>
      </c>
      <c r="F643" t="s">
        <v>24</v>
      </c>
      <c r="G643" t="s">
        <v>24</v>
      </c>
      <c r="H643">
        <f>32648*(1.01^10)</f>
        <v>36063.703150425012</v>
      </c>
      <c r="I643">
        <f>144231*(1.01^10)</f>
        <v>159320.75377018348</v>
      </c>
      <c r="J643" t="s">
        <v>2493</v>
      </c>
      <c r="K643">
        <f t="shared" ref="K643:K706" si="10">I643/J643</f>
        <v>180.1951717410974</v>
      </c>
    </row>
    <row r="644" spans="1:11" x14ac:dyDescent="0.2">
      <c r="A644" t="s">
        <v>1886</v>
      </c>
      <c r="B644" t="s">
        <v>404</v>
      </c>
      <c r="C644" t="s">
        <v>2494</v>
      </c>
      <c r="D644" t="s">
        <v>2495</v>
      </c>
      <c r="E644" t="s">
        <v>759</v>
      </c>
      <c r="F644" t="s">
        <v>17</v>
      </c>
      <c r="G644" t="s">
        <v>11</v>
      </c>
      <c r="H644">
        <f>47280*(1.01^10)</f>
        <v>52226.53408944176</v>
      </c>
      <c r="I644">
        <f>235140*(1.01^10)</f>
        <v>259740.84656919067</v>
      </c>
      <c r="J644" t="s">
        <v>2496</v>
      </c>
      <c r="K644">
        <f t="shared" si="10"/>
        <v>419.47154867889861</v>
      </c>
    </row>
    <row r="645" spans="1:11" x14ac:dyDescent="0.2">
      <c r="A645" t="s">
        <v>1886</v>
      </c>
      <c r="B645" t="s">
        <v>404</v>
      </c>
      <c r="C645" t="s">
        <v>2497</v>
      </c>
      <c r="D645" t="s">
        <v>2498</v>
      </c>
      <c r="E645" t="s">
        <v>36</v>
      </c>
      <c r="F645" t="s">
        <v>11</v>
      </c>
      <c r="G645" t="s">
        <v>24</v>
      </c>
      <c r="H645">
        <f>27874*(1.01^10)</f>
        <v>30790.237123711922</v>
      </c>
      <c r="I645">
        <f>131800*(1.01^10)</f>
        <v>145589.19612919679</v>
      </c>
      <c r="J645" t="s">
        <v>2499</v>
      </c>
      <c r="K645">
        <f t="shared" si="10"/>
        <v>257.71756685680964</v>
      </c>
    </row>
    <row r="646" spans="1:11" x14ac:dyDescent="0.2">
      <c r="A646" t="s">
        <v>1886</v>
      </c>
      <c r="B646" t="s">
        <v>404</v>
      </c>
      <c r="C646" t="s">
        <v>2500</v>
      </c>
      <c r="D646" t="s">
        <v>2501</v>
      </c>
      <c r="E646" t="s">
        <v>1994</v>
      </c>
      <c r="F646" t="s">
        <v>11</v>
      </c>
      <c r="G646" t="s">
        <v>17</v>
      </c>
      <c r="H646">
        <f>51562*(1.01^10)</f>
        <v>56956.526030452536</v>
      </c>
      <c r="I646">
        <f>244731*(1.01^10)</f>
        <v>270335.27737400954</v>
      </c>
      <c r="J646" t="s">
        <v>2502</v>
      </c>
      <c r="K646">
        <f t="shared" si="10"/>
        <v>344.07249089400136</v>
      </c>
    </row>
    <row r="647" spans="1:11" x14ac:dyDescent="0.2">
      <c r="A647" t="s">
        <v>1886</v>
      </c>
      <c r="B647" t="s">
        <v>1912</v>
      </c>
      <c r="C647" t="s">
        <v>2503</v>
      </c>
      <c r="D647" t="s">
        <v>2504</v>
      </c>
      <c r="E647" t="s">
        <v>63</v>
      </c>
      <c r="F647" t="s">
        <v>24</v>
      </c>
      <c r="G647" t="s">
        <v>12</v>
      </c>
      <c r="H647">
        <f>98876*(1.01^10)</f>
        <v>109220.61727215828</v>
      </c>
      <c r="I647">
        <f>495423*(1.01^10)</f>
        <v>547255.20723759534</v>
      </c>
      <c r="J647" t="s">
        <v>2505</v>
      </c>
      <c r="K647">
        <f t="shared" si="10"/>
        <v>415.03972083184198</v>
      </c>
    </row>
    <row r="648" spans="1:11" x14ac:dyDescent="0.2">
      <c r="A648" t="s">
        <v>1886</v>
      </c>
      <c r="B648" t="s">
        <v>1912</v>
      </c>
      <c r="C648" t="s">
        <v>2506</v>
      </c>
      <c r="D648" t="s">
        <v>2507</v>
      </c>
      <c r="E648" t="s">
        <v>809</v>
      </c>
      <c r="F648" t="s">
        <v>11</v>
      </c>
      <c r="G648" t="s">
        <v>24</v>
      </c>
      <c r="H648">
        <f>46330*(1.01^10)</f>
        <v>51177.143070301114</v>
      </c>
      <c r="I648">
        <f>224243*(1.01^10)</f>
        <v>247703.7792685848</v>
      </c>
      <c r="J648" t="s">
        <v>2508</v>
      </c>
      <c r="K648">
        <f t="shared" si="10"/>
        <v>348.74649009804256</v>
      </c>
    </row>
    <row r="649" spans="1:11" x14ac:dyDescent="0.2">
      <c r="A649" t="s">
        <v>1886</v>
      </c>
      <c r="B649" t="s">
        <v>1912</v>
      </c>
      <c r="C649" t="s">
        <v>2510</v>
      </c>
      <c r="D649" t="s">
        <v>2511</v>
      </c>
      <c r="E649" t="s">
        <v>591</v>
      </c>
      <c r="F649" t="s">
        <v>12</v>
      </c>
      <c r="G649" t="s">
        <v>17</v>
      </c>
      <c r="H649">
        <f>71166*(1.01^10)</f>
        <v>78611.53817701379</v>
      </c>
      <c r="I649">
        <f>343232*(1.01^10)</f>
        <v>379141.66134913865</v>
      </c>
      <c r="J649" t="s">
        <v>2512</v>
      </c>
      <c r="K649">
        <f t="shared" si="10"/>
        <v>431.96012335583526</v>
      </c>
    </row>
    <row r="650" spans="1:11" x14ac:dyDescent="0.2">
      <c r="A650" t="s">
        <v>1886</v>
      </c>
      <c r="B650" t="s">
        <v>1912</v>
      </c>
      <c r="C650" t="s">
        <v>2513</v>
      </c>
      <c r="D650" t="s">
        <v>2514</v>
      </c>
      <c r="E650" t="s">
        <v>2113</v>
      </c>
      <c r="F650" t="s">
        <v>24</v>
      </c>
      <c r="G650" t="s">
        <v>12</v>
      </c>
      <c r="H650">
        <f>65657*(1.01^10)</f>
        <v>72526.174888123467</v>
      </c>
      <c r="I650">
        <f>325654*(1.01^10)</f>
        <v>359724.61362866045</v>
      </c>
      <c r="J650" t="s">
        <v>2515</v>
      </c>
      <c r="K650">
        <f t="shared" si="10"/>
        <v>416.61757245713522</v>
      </c>
    </row>
    <row r="651" spans="1:11" x14ac:dyDescent="0.2">
      <c r="A651" t="s">
        <v>1886</v>
      </c>
      <c r="B651" t="s">
        <v>1010</v>
      </c>
      <c r="C651" t="s">
        <v>2516</v>
      </c>
      <c r="D651" t="s">
        <v>2517</v>
      </c>
      <c r="E651" t="s">
        <v>621</v>
      </c>
      <c r="F651" t="s">
        <v>12</v>
      </c>
      <c r="G651" t="s">
        <v>24</v>
      </c>
      <c r="H651">
        <f>62132*(1.01^10)</f>
        <v>68632.381896048973</v>
      </c>
      <c r="I651">
        <f>287101*(1.01^10)</f>
        <v>317138.1168276823</v>
      </c>
      <c r="J651" t="s">
        <v>2518</v>
      </c>
      <c r="K651">
        <f t="shared" si="10"/>
        <v>411.31079070229958</v>
      </c>
    </row>
    <row r="652" spans="1:11" x14ac:dyDescent="0.2">
      <c r="A652" t="s">
        <v>1886</v>
      </c>
      <c r="B652" t="s">
        <v>1010</v>
      </c>
      <c r="C652" t="s">
        <v>2519</v>
      </c>
      <c r="D652" t="s">
        <v>2520</v>
      </c>
      <c r="E652" t="s">
        <v>144</v>
      </c>
      <c r="F652" t="s">
        <v>17</v>
      </c>
      <c r="G652" t="s">
        <v>17</v>
      </c>
      <c r="H652">
        <f>61155*(1.01^10)</f>
        <v>67553.166079522227</v>
      </c>
      <c r="I652">
        <f>298740*(1.01^10)</f>
        <v>329994.8137453433</v>
      </c>
      <c r="J652" t="s">
        <v>2521</v>
      </c>
      <c r="K652">
        <f t="shared" si="10"/>
        <v>453.01644801475243</v>
      </c>
    </row>
    <row r="653" spans="1:11" x14ac:dyDescent="0.2">
      <c r="A653" t="s">
        <v>1886</v>
      </c>
      <c r="B653" t="s">
        <v>1010</v>
      </c>
      <c r="C653" t="s">
        <v>2523</v>
      </c>
      <c r="D653" t="s">
        <v>2524</v>
      </c>
      <c r="E653" t="s">
        <v>500</v>
      </c>
      <c r="F653" t="s">
        <v>796</v>
      </c>
      <c r="G653" t="s">
        <v>12</v>
      </c>
      <c r="H653">
        <f>94686*(1.01^10)</f>
        <v>104592.25056668534</v>
      </c>
      <c r="I653">
        <f>458587*(1.01^10)</f>
        <v>506565.34662594815</v>
      </c>
      <c r="J653" t="s">
        <v>2525</v>
      </c>
      <c r="K653">
        <f t="shared" si="10"/>
        <v>446.36483600015748</v>
      </c>
    </row>
    <row r="654" spans="1:11" x14ac:dyDescent="0.2">
      <c r="A654" t="s">
        <v>1886</v>
      </c>
      <c r="B654" t="s">
        <v>1010</v>
      </c>
      <c r="C654" t="s">
        <v>2526</v>
      </c>
      <c r="D654" t="s">
        <v>2527</v>
      </c>
      <c r="E654" t="s">
        <v>2528</v>
      </c>
      <c r="F654" t="s">
        <v>24</v>
      </c>
      <c r="G654" t="s">
        <v>24</v>
      </c>
      <c r="H654">
        <f>74897*(1.01^10)</f>
        <v>82732.883326923009</v>
      </c>
      <c r="I654">
        <f>373825*(1.01^10)</f>
        <v>412935.36603184359</v>
      </c>
      <c r="J654" t="s">
        <v>2529</v>
      </c>
      <c r="K654">
        <f t="shared" si="10"/>
        <v>478.44821310603959</v>
      </c>
    </row>
    <row r="655" spans="1:11" x14ac:dyDescent="0.2">
      <c r="A655" t="s">
        <v>1886</v>
      </c>
      <c r="B655" t="s">
        <v>1010</v>
      </c>
      <c r="C655" t="s">
        <v>2530</v>
      </c>
      <c r="D655" t="s">
        <v>2531</v>
      </c>
      <c r="E655" t="s">
        <v>2532</v>
      </c>
      <c r="F655" t="s">
        <v>11</v>
      </c>
      <c r="G655" t="s">
        <v>12</v>
      </c>
      <c r="H655">
        <f>74927*(1.01^10)</f>
        <v>82766.021990685331</v>
      </c>
      <c r="I655">
        <f>379232*(1.01^10)</f>
        <v>418908.057863942</v>
      </c>
      <c r="J655" t="s">
        <v>2533</v>
      </c>
      <c r="K655">
        <f t="shared" si="10"/>
        <v>408.85592045436005</v>
      </c>
    </row>
    <row r="656" spans="1:11" x14ac:dyDescent="0.2">
      <c r="A656" t="s">
        <v>1886</v>
      </c>
      <c r="B656" t="s">
        <v>282</v>
      </c>
      <c r="C656" t="s">
        <v>2535</v>
      </c>
      <c r="D656" t="s">
        <v>2536</v>
      </c>
      <c r="E656" t="s">
        <v>324</v>
      </c>
      <c r="F656" t="s">
        <v>6</v>
      </c>
      <c r="G656" t="s">
        <v>24</v>
      </c>
      <c r="H656">
        <f>18434*(1.01^10)</f>
        <v>20362.60425983015</v>
      </c>
      <c r="I656">
        <f>88670*(1.01^10)</f>
        <v>97946.84386021152</v>
      </c>
      <c r="J656" t="s">
        <v>2537</v>
      </c>
      <c r="K656">
        <f t="shared" si="10"/>
        <v>219.14679465294373</v>
      </c>
    </row>
    <row r="657" spans="1:11" x14ac:dyDescent="0.2">
      <c r="A657" t="s">
        <v>1886</v>
      </c>
      <c r="B657" t="s">
        <v>282</v>
      </c>
      <c r="C657" t="s">
        <v>2538</v>
      </c>
      <c r="D657" t="s">
        <v>2539</v>
      </c>
      <c r="E657" t="s">
        <v>386</v>
      </c>
      <c r="F657" t="s">
        <v>24</v>
      </c>
      <c r="G657" t="s">
        <v>24</v>
      </c>
      <c r="H657">
        <f>22575*(1.01^10)</f>
        <v>24936.844481157947</v>
      </c>
      <c r="I657">
        <f>103933*(1.01^10)</f>
        <v>114806.69136036275</v>
      </c>
      <c r="J657" t="s">
        <v>2540</v>
      </c>
      <c r="K657">
        <f t="shared" si="10"/>
        <v>207.10296790026214</v>
      </c>
    </row>
    <row r="658" spans="1:11" x14ac:dyDescent="0.2">
      <c r="A658" t="s">
        <v>1886</v>
      </c>
      <c r="B658" t="s">
        <v>282</v>
      </c>
      <c r="C658" t="s">
        <v>2541</v>
      </c>
      <c r="D658" t="s">
        <v>2542</v>
      </c>
      <c r="E658" t="s">
        <v>725</v>
      </c>
      <c r="F658" t="s">
        <v>427</v>
      </c>
      <c r="G658" t="s">
        <v>12</v>
      </c>
      <c r="H658">
        <f>28437*(1.01^10)</f>
        <v>31412.139380318429</v>
      </c>
      <c r="I658">
        <f>135340*(1.01^10)</f>
        <v>149499.55845315245</v>
      </c>
      <c r="J658" t="s">
        <v>2543</v>
      </c>
      <c r="K658">
        <f t="shared" si="10"/>
        <v>163.9088884392736</v>
      </c>
    </row>
    <row r="659" spans="1:11" x14ac:dyDescent="0.2">
      <c r="A659" t="s">
        <v>1886</v>
      </c>
      <c r="B659" t="s">
        <v>282</v>
      </c>
      <c r="C659" t="s">
        <v>2544</v>
      </c>
      <c r="D659" t="s">
        <v>2545</v>
      </c>
      <c r="E659" t="s">
        <v>1401</v>
      </c>
      <c r="F659" t="s">
        <v>67</v>
      </c>
      <c r="G659" t="s">
        <v>12</v>
      </c>
      <c r="H659">
        <f>29957*(1.01^10)</f>
        <v>33091.165010943463</v>
      </c>
      <c r="I659">
        <f>140128*(1.01^10)</f>
        <v>154788.48918962129</v>
      </c>
      <c r="J659" t="s">
        <v>2546</v>
      </c>
      <c r="K659">
        <f t="shared" si="10"/>
        <v>94.23182116433486</v>
      </c>
    </row>
    <row r="660" spans="1:11" x14ac:dyDescent="0.2">
      <c r="A660" t="s">
        <v>1886</v>
      </c>
      <c r="B660" t="s">
        <v>282</v>
      </c>
      <c r="C660" t="s">
        <v>2547</v>
      </c>
      <c r="D660" t="s">
        <v>2548</v>
      </c>
      <c r="E660" t="s">
        <v>848</v>
      </c>
      <c r="F660" t="s">
        <v>108</v>
      </c>
      <c r="G660" t="s">
        <v>17</v>
      </c>
      <c r="H660">
        <f>66891*(1.01^10)</f>
        <v>73889.278590880902</v>
      </c>
      <c r="I660">
        <f>312334*(1.01^10)</f>
        <v>345011.04691818322</v>
      </c>
      <c r="J660" t="s">
        <v>2549</v>
      </c>
      <c r="K660">
        <f t="shared" si="10"/>
        <v>350.97689053363581</v>
      </c>
    </row>
    <row r="661" spans="1:11" x14ac:dyDescent="0.2">
      <c r="A661" t="s">
        <v>1886</v>
      </c>
      <c r="B661" t="s">
        <v>282</v>
      </c>
      <c r="C661" t="s">
        <v>2551</v>
      </c>
      <c r="D661" t="s">
        <v>2552</v>
      </c>
      <c r="E661" t="s">
        <v>2553</v>
      </c>
      <c r="F661" t="s">
        <v>158</v>
      </c>
      <c r="G661" t="s">
        <v>12</v>
      </c>
      <c r="H661">
        <f>43083*(1.01^10)</f>
        <v>47590.435029090935</v>
      </c>
      <c r="I661">
        <f>199340*(1.01^10)</f>
        <v>220195.37447946955</v>
      </c>
      <c r="J661" t="s">
        <v>2554</v>
      </c>
      <c r="K661">
        <f t="shared" si="10"/>
        <v>240.88798872384504</v>
      </c>
    </row>
    <row r="662" spans="1:11" x14ac:dyDescent="0.2">
      <c r="A662" t="s">
        <v>1886</v>
      </c>
      <c r="B662" t="s">
        <v>282</v>
      </c>
      <c r="C662" t="s">
        <v>2555</v>
      </c>
      <c r="D662" t="s">
        <v>2556</v>
      </c>
      <c r="E662" t="s">
        <v>489</v>
      </c>
      <c r="F662" t="s">
        <v>158</v>
      </c>
      <c r="G662" t="s">
        <v>24</v>
      </c>
      <c r="H662">
        <f>22395*(1.01^10)</f>
        <v>24738.012498583932</v>
      </c>
      <c r="I662">
        <f>104607*(1.01^10)</f>
        <v>115551.20667288989</v>
      </c>
      <c r="J662" t="s">
        <v>2557</v>
      </c>
      <c r="K662">
        <f t="shared" si="10"/>
        <v>232.74935754419985</v>
      </c>
    </row>
    <row r="663" spans="1:11" x14ac:dyDescent="0.2">
      <c r="A663" t="s">
        <v>1886</v>
      </c>
      <c r="B663" t="s">
        <v>282</v>
      </c>
      <c r="C663" t="s">
        <v>2558</v>
      </c>
      <c r="D663" t="s">
        <v>2559</v>
      </c>
      <c r="E663" t="s">
        <v>151</v>
      </c>
      <c r="F663" t="s">
        <v>92</v>
      </c>
      <c r="G663" t="s">
        <v>24</v>
      </c>
      <c r="H663">
        <f>26309*(1.01^10)</f>
        <v>29061.503497443387</v>
      </c>
      <c r="I663">
        <f>123930*(1.01^10)</f>
        <v>136895.82000221062</v>
      </c>
      <c r="J663" t="s">
        <v>2560</v>
      </c>
      <c r="K663">
        <f t="shared" si="10"/>
        <v>256.95970505034057</v>
      </c>
    </row>
    <row r="664" spans="1:11" x14ac:dyDescent="0.2">
      <c r="A664" t="s">
        <v>1886</v>
      </c>
      <c r="B664" t="s">
        <v>282</v>
      </c>
      <c r="C664" t="s">
        <v>2561</v>
      </c>
      <c r="D664" t="s">
        <v>2562</v>
      </c>
      <c r="E664" t="s">
        <v>833</v>
      </c>
      <c r="F664" t="s">
        <v>411</v>
      </c>
      <c r="G664" t="s">
        <v>12</v>
      </c>
      <c r="H664">
        <f>45835*(1.01^10)</f>
        <v>50630.355118222571</v>
      </c>
      <c r="I664">
        <f>219790*(1.01^10)</f>
        <v>242784.8969441287</v>
      </c>
      <c r="J664" t="s">
        <v>2563</v>
      </c>
      <c r="K664">
        <f t="shared" si="10"/>
        <v>292.12131497053917</v>
      </c>
    </row>
    <row r="665" spans="1:11" x14ac:dyDescent="0.2">
      <c r="A665" t="s">
        <v>1886</v>
      </c>
      <c r="B665" t="s">
        <v>282</v>
      </c>
      <c r="C665" t="s">
        <v>2564</v>
      </c>
      <c r="D665" t="s">
        <v>2565</v>
      </c>
      <c r="E665" t="s">
        <v>1446</v>
      </c>
      <c r="F665" t="s">
        <v>6</v>
      </c>
      <c r="G665" t="s">
        <v>12</v>
      </c>
      <c r="H665">
        <f>25203*(1.01^10)</f>
        <v>27839.791426738593</v>
      </c>
      <c r="I665">
        <f>116266*(1.01^10)</f>
        <v>128429.99603305913</v>
      </c>
      <c r="J665" t="s">
        <v>2566</v>
      </c>
      <c r="K665">
        <f t="shared" si="10"/>
        <v>252.53722012696133</v>
      </c>
    </row>
    <row r="666" spans="1:11" x14ac:dyDescent="0.2">
      <c r="A666" t="s">
        <v>1886</v>
      </c>
      <c r="B666" t="s">
        <v>766</v>
      </c>
      <c r="C666" t="s">
        <v>2567</v>
      </c>
      <c r="D666" t="s">
        <v>2568</v>
      </c>
      <c r="E666" t="s">
        <v>806</v>
      </c>
      <c r="F666" t="s">
        <v>6</v>
      </c>
      <c r="G666" t="s">
        <v>24</v>
      </c>
      <c r="H666">
        <f>35968*(1.01^10)</f>
        <v>39731.048606790209</v>
      </c>
      <c r="I666">
        <f>179800*(1.01^10)</f>
        <v>198611.05814893462</v>
      </c>
      <c r="J666" t="s">
        <v>2569</v>
      </c>
      <c r="K666">
        <f t="shared" si="10"/>
        <v>213.44310193863188</v>
      </c>
    </row>
    <row r="667" spans="1:11" x14ac:dyDescent="0.2">
      <c r="A667" t="s">
        <v>1886</v>
      </c>
      <c r="B667" t="s">
        <v>766</v>
      </c>
      <c r="C667" t="s">
        <v>2570</v>
      </c>
      <c r="D667" t="s">
        <v>2571</v>
      </c>
      <c r="E667" t="s">
        <v>1401</v>
      </c>
      <c r="F667" t="s">
        <v>6</v>
      </c>
      <c r="G667" t="s">
        <v>24</v>
      </c>
      <c r="H667">
        <f>33029*(1.01^10)</f>
        <v>36484.564180206682</v>
      </c>
      <c r="I667">
        <f>168734*(1.01^10)</f>
        <v>186387.30970913422</v>
      </c>
      <c r="J667" t="s">
        <v>2572</v>
      </c>
      <c r="K667">
        <f t="shared" si="10"/>
        <v>198.66057369985097</v>
      </c>
    </row>
    <row r="668" spans="1:11" x14ac:dyDescent="0.2">
      <c r="A668" t="s">
        <v>1886</v>
      </c>
      <c r="B668" t="s">
        <v>766</v>
      </c>
      <c r="C668" t="s">
        <v>2573</v>
      </c>
      <c r="D668" t="s">
        <v>2574</v>
      </c>
      <c r="E668" t="s">
        <v>839</v>
      </c>
      <c r="F668" t="s">
        <v>97</v>
      </c>
      <c r="G668" t="s">
        <v>17</v>
      </c>
      <c r="H668">
        <f>236889*(1.01^10)</f>
        <v>261672.83066653489</v>
      </c>
      <c r="I668">
        <f>1143792*(1.01^10)</f>
        <v>1263457.9500683327</v>
      </c>
      <c r="J668" t="s">
        <v>2575</v>
      </c>
      <c r="K668">
        <f t="shared" si="10"/>
        <v>843.75545893816695</v>
      </c>
    </row>
    <row r="669" spans="1:11" x14ac:dyDescent="0.2">
      <c r="A669" t="s">
        <v>1886</v>
      </c>
      <c r="B669" t="s">
        <v>766</v>
      </c>
      <c r="C669" t="s">
        <v>2576</v>
      </c>
      <c r="D669" t="s">
        <v>2577</v>
      </c>
      <c r="E669" t="s">
        <v>568</v>
      </c>
      <c r="F669" t="s">
        <v>274</v>
      </c>
      <c r="G669" t="s">
        <v>152</v>
      </c>
      <c r="H669">
        <f>55463*(1.01^10)</f>
        <v>61265.656941681649</v>
      </c>
      <c r="I669">
        <f>272448*(1.01^10)</f>
        <v>300952.08882403193</v>
      </c>
      <c r="J669" t="s">
        <v>2578</v>
      </c>
      <c r="K669">
        <f t="shared" si="10"/>
        <v>384.69398216027923</v>
      </c>
    </row>
    <row r="670" spans="1:11" x14ac:dyDescent="0.2">
      <c r="A670" t="s">
        <v>1886</v>
      </c>
      <c r="B670" t="s">
        <v>766</v>
      </c>
      <c r="C670" t="s">
        <v>2580</v>
      </c>
      <c r="D670" t="s">
        <v>2581</v>
      </c>
      <c r="E670" t="s">
        <v>738</v>
      </c>
      <c r="F670" t="s">
        <v>6</v>
      </c>
      <c r="G670" t="s">
        <v>12</v>
      </c>
      <c r="H670">
        <f>35152*(1.01^10)</f>
        <v>38829.676952454669</v>
      </c>
      <c r="I670">
        <f>186240*(1.01^10)</f>
        <v>205724.82463658278</v>
      </c>
      <c r="J670" t="s">
        <v>2582</v>
      </c>
      <c r="K670">
        <f t="shared" si="10"/>
        <v>192.53015663421868</v>
      </c>
    </row>
    <row r="671" spans="1:11" x14ac:dyDescent="0.2">
      <c r="A671" t="s">
        <v>1886</v>
      </c>
      <c r="B671" t="s">
        <v>555</v>
      </c>
      <c r="C671" t="s">
        <v>2583</v>
      </c>
      <c r="D671" t="s">
        <v>2584</v>
      </c>
      <c r="E671" t="s">
        <v>1106</v>
      </c>
      <c r="F671" t="s">
        <v>158</v>
      </c>
      <c r="G671" t="s">
        <v>12</v>
      </c>
      <c r="H671">
        <f>20516*(1.01^10)</f>
        <v>22662.427524936276</v>
      </c>
      <c r="I671">
        <f>106963*(1.01^10)</f>
        <v>118153.69640035869</v>
      </c>
      <c r="J671" t="s">
        <v>2585</v>
      </c>
      <c r="K671">
        <f t="shared" si="10"/>
        <v>268.34255023936009</v>
      </c>
    </row>
    <row r="672" spans="1:11" x14ac:dyDescent="0.2">
      <c r="A672" t="s">
        <v>1886</v>
      </c>
      <c r="B672" t="s">
        <v>555</v>
      </c>
      <c r="C672" t="s">
        <v>2587</v>
      </c>
      <c r="D672" t="s">
        <v>2588</v>
      </c>
      <c r="E672" t="s">
        <v>1229</v>
      </c>
      <c r="F672" t="s">
        <v>11</v>
      </c>
      <c r="G672" t="s">
        <v>12</v>
      </c>
      <c r="H672">
        <f>23218*(1.01^10)</f>
        <v>25647.116507797353</v>
      </c>
      <c r="I672">
        <f>120038*(1.01^10)</f>
        <v>132596.63069011021</v>
      </c>
      <c r="J672" t="s">
        <v>2589</v>
      </c>
      <c r="K672">
        <f t="shared" si="10"/>
        <v>243.988828051962</v>
      </c>
    </row>
    <row r="673" spans="1:11" x14ac:dyDescent="0.2">
      <c r="A673" t="s">
        <v>1886</v>
      </c>
      <c r="B673" t="s">
        <v>555</v>
      </c>
      <c r="C673" t="s">
        <v>2590</v>
      </c>
      <c r="D673" t="s">
        <v>2591</v>
      </c>
      <c r="E673" t="s">
        <v>2395</v>
      </c>
      <c r="F673" t="s">
        <v>17</v>
      </c>
      <c r="G673" t="s">
        <v>12</v>
      </c>
      <c r="H673">
        <f>41400*(1.01^10)</f>
        <v>45731.355992023877</v>
      </c>
      <c r="I673">
        <f>213555*(1.01^10)</f>
        <v>235897.57799218982</v>
      </c>
      <c r="J673" t="s">
        <v>2592</v>
      </c>
      <c r="K673">
        <f t="shared" si="10"/>
        <v>376.31265150781763</v>
      </c>
    </row>
    <row r="674" spans="1:11" x14ac:dyDescent="0.2">
      <c r="A674" t="s">
        <v>1886</v>
      </c>
      <c r="B674" t="s">
        <v>555</v>
      </c>
      <c r="C674" t="s">
        <v>2593</v>
      </c>
      <c r="D674" t="s">
        <v>2594</v>
      </c>
      <c r="E674" t="s">
        <v>784</v>
      </c>
      <c r="F674" t="s">
        <v>17</v>
      </c>
      <c r="G674" t="s">
        <v>11</v>
      </c>
      <c r="H674">
        <f>29129*(1.01^10)</f>
        <v>32176.537891102984</v>
      </c>
      <c r="I674">
        <f>149959*(1.01^10)</f>
        <v>165648.02930453885</v>
      </c>
      <c r="J674" t="s">
        <v>2595</v>
      </c>
      <c r="K674">
        <f t="shared" si="10"/>
        <v>198.69121419968567</v>
      </c>
    </row>
    <row r="675" spans="1:11" x14ac:dyDescent="0.2">
      <c r="A675" t="s">
        <v>1886</v>
      </c>
      <c r="B675" t="s">
        <v>555</v>
      </c>
      <c r="C675" t="s">
        <v>2596</v>
      </c>
      <c r="D675" t="s">
        <v>2597</v>
      </c>
      <c r="E675" t="s">
        <v>396</v>
      </c>
      <c r="F675" t="s">
        <v>61</v>
      </c>
      <c r="G675" t="s">
        <v>24</v>
      </c>
      <c r="H675">
        <f>33345*(1.01^10)</f>
        <v>36833.624771836621</v>
      </c>
      <c r="I675">
        <f>166864*(1.01^10)</f>
        <v>184321.66633461526</v>
      </c>
      <c r="J675" t="s">
        <v>2598</v>
      </c>
      <c r="K675">
        <f t="shared" si="10"/>
        <v>129.2675811528687</v>
      </c>
    </row>
    <row r="676" spans="1:11" x14ac:dyDescent="0.2">
      <c r="A676" t="s">
        <v>1886</v>
      </c>
      <c r="B676" t="s">
        <v>555</v>
      </c>
      <c r="C676" t="s">
        <v>2599</v>
      </c>
      <c r="D676" t="s">
        <v>1544</v>
      </c>
      <c r="E676" t="s">
        <v>418</v>
      </c>
      <c r="F676" t="s">
        <v>612</v>
      </c>
      <c r="G676" t="s">
        <v>24</v>
      </c>
      <c r="H676">
        <f>28480*(1.01^10)</f>
        <v>31459.638131711112</v>
      </c>
      <c r="I676">
        <f>142061*(1.01^10)</f>
        <v>156923.72375804116</v>
      </c>
      <c r="J676" t="s">
        <v>2600</v>
      </c>
      <c r="K676">
        <f t="shared" si="10"/>
        <v>106.65149338978024</v>
      </c>
    </row>
    <row r="677" spans="1:11" x14ac:dyDescent="0.2">
      <c r="A677" t="s">
        <v>1886</v>
      </c>
      <c r="B677" t="s">
        <v>555</v>
      </c>
      <c r="C677" t="s">
        <v>2601</v>
      </c>
      <c r="D677" t="s">
        <v>2602</v>
      </c>
      <c r="E677" t="s">
        <v>2603</v>
      </c>
      <c r="F677" t="s">
        <v>158</v>
      </c>
      <c r="G677" t="s">
        <v>12</v>
      </c>
      <c r="H677">
        <f>29790*(1.01^10)</f>
        <v>32906.693115999791</v>
      </c>
      <c r="I677">
        <f>152429*(1.01^10)</f>
        <v>168376.44595430454</v>
      </c>
      <c r="J677" t="s">
        <v>2604</v>
      </c>
      <c r="K677">
        <f t="shared" si="10"/>
        <v>210.45848451160137</v>
      </c>
    </row>
    <row r="678" spans="1:11" x14ac:dyDescent="0.2">
      <c r="A678" t="s">
        <v>1886</v>
      </c>
      <c r="B678" t="s">
        <v>555</v>
      </c>
      <c r="C678" t="s">
        <v>2605</v>
      </c>
      <c r="D678" t="s">
        <v>2606</v>
      </c>
      <c r="E678" t="s">
        <v>123</v>
      </c>
      <c r="F678" t="s">
        <v>158</v>
      </c>
      <c r="G678" t="s">
        <v>12</v>
      </c>
      <c r="H678">
        <f>35550*(1.01^10)</f>
        <v>39269.316558368329</v>
      </c>
      <c r="I678">
        <f>170886*(1.01^10)</f>
        <v>188764.45652301912</v>
      </c>
      <c r="J678" t="s">
        <v>2607</v>
      </c>
      <c r="K678">
        <f t="shared" si="10"/>
        <v>221.97922676154096</v>
      </c>
    </row>
    <row r="679" spans="1:11" x14ac:dyDescent="0.2">
      <c r="A679" t="s">
        <v>1886</v>
      </c>
      <c r="B679" t="s">
        <v>761</v>
      </c>
      <c r="C679" t="s">
        <v>2608</v>
      </c>
      <c r="D679" t="s">
        <v>2609</v>
      </c>
      <c r="E679" t="s">
        <v>133</v>
      </c>
      <c r="F679" t="s">
        <v>458</v>
      </c>
      <c r="G679" t="s">
        <v>12</v>
      </c>
      <c r="H679">
        <f>32687*(1.01^10)</f>
        <v>36106.78341331605</v>
      </c>
      <c r="I679">
        <f>173193*(1.01^10)</f>
        <v>191312.81976634279</v>
      </c>
      <c r="J679" t="s">
        <v>2610</v>
      </c>
      <c r="K679">
        <f t="shared" si="10"/>
        <v>208.1551493384475</v>
      </c>
    </row>
    <row r="680" spans="1:11" x14ac:dyDescent="0.2">
      <c r="A680" t="s">
        <v>1886</v>
      </c>
      <c r="B680" t="s">
        <v>761</v>
      </c>
      <c r="C680" t="s">
        <v>2611</v>
      </c>
      <c r="D680" t="s">
        <v>2612</v>
      </c>
      <c r="E680" t="s">
        <v>376</v>
      </c>
      <c r="F680" t="s">
        <v>47</v>
      </c>
      <c r="G680" t="s">
        <v>11</v>
      </c>
      <c r="H680">
        <f>73231*(1.01^10)</f>
        <v>80892.582865987933</v>
      </c>
      <c r="I680">
        <f>356707*(1.01^10)</f>
        <v>394026.44448905461</v>
      </c>
      <c r="J680" t="s">
        <v>2613</v>
      </c>
      <c r="K680">
        <f t="shared" si="10"/>
        <v>311.00366531894298</v>
      </c>
    </row>
    <row r="681" spans="1:11" x14ac:dyDescent="0.2">
      <c r="A681" t="s">
        <v>1886</v>
      </c>
      <c r="B681" t="s">
        <v>761</v>
      </c>
      <c r="C681" t="s">
        <v>2614</v>
      </c>
      <c r="D681" t="s">
        <v>2615</v>
      </c>
      <c r="E681" t="s">
        <v>1263</v>
      </c>
      <c r="F681" t="s">
        <v>1506</v>
      </c>
      <c r="G681" t="s">
        <v>12</v>
      </c>
      <c r="H681">
        <f>37091*(1.01^10)</f>
        <v>40971.539253626994</v>
      </c>
      <c r="I681">
        <f>178571*(1.01^10)</f>
        <v>197253.47755680425</v>
      </c>
      <c r="J681" t="s">
        <v>2616</v>
      </c>
      <c r="K681">
        <f t="shared" si="10"/>
        <v>252.79076910564035</v>
      </c>
    </row>
    <row r="682" spans="1:11" x14ac:dyDescent="0.2">
      <c r="A682" t="s">
        <v>1886</v>
      </c>
      <c r="B682" t="s">
        <v>761</v>
      </c>
      <c r="C682" t="s">
        <v>2617</v>
      </c>
      <c r="D682" t="s">
        <v>2618</v>
      </c>
      <c r="E682" t="s">
        <v>2603</v>
      </c>
      <c r="F682" t="s">
        <v>92</v>
      </c>
      <c r="G682" t="s">
        <v>12</v>
      </c>
      <c r="H682">
        <f>30016*(1.01^10)</f>
        <v>33156.337716342721</v>
      </c>
      <c r="I682">
        <f>143075*(1.01^10)</f>
        <v>158043.81059320812</v>
      </c>
      <c r="J682" t="s">
        <v>2619</v>
      </c>
      <c r="K682">
        <f t="shared" si="10"/>
        <v>253.16198940853437</v>
      </c>
    </row>
    <row r="683" spans="1:11" x14ac:dyDescent="0.2">
      <c r="A683" t="s">
        <v>1886</v>
      </c>
      <c r="B683" t="s">
        <v>761</v>
      </c>
      <c r="C683" t="s">
        <v>2620</v>
      </c>
      <c r="D683" t="s">
        <v>2621</v>
      </c>
      <c r="E683" t="s">
        <v>1295</v>
      </c>
      <c r="F683" t="s">
        <v>152</v>
      </c>
      <c r="G683" t="s">
        <v>12</v>
      </c>
      <c r="H683">
        <f>34502*(1.01^10)</f>
        <v>38111.672570937386</v>
      </c>
      <c r="I683">
        <f>179418*(1.01^10)</f>
        <v>198189.09249702754</v>
      </c>
      <c r="J683" t="s">
        <v>2622</v>
      </c>
      <c r="K683">
        <f t="shared" si="10"/>
        <v>288.05495384563881</v>
      </c>
    </row>
    <row r="684" spans="1:11" x14ac:dyDescent="0.2">
      <c r="A684" t="s">
        <v>1886</v>
      </c>
      <c r="B684" t="s">
        <v>761</v>
      </c>
      <c r="C684" t="s">
        <v>2624</v>
      </c>
      <c r="D684" t="s">
        <v>2625</v>
      </c>
      <c r="E684" t="s">
        <v>608</v>
      </c>
      <c r="F684" t="s">
        <v>458</v>
      </c>
      <c r="G684" t="s">
        <v>12</v>
      </c>
      <c r="H684">
        <f>41824*(1.01^10)</f>
        <v>46199.71577319823</v>
      </c>
      <c r="I684">
        <f>212679*(1.01^10)</f>
        <v>234929.92901032962</v>
      </c>
      <c r="J684" t="s">
        <v>2626</v>
      </c>
      <c r="K684">
        <f t="shared" si="10"/>
        <v>228.41243241593673</v>
      </c>
    </row>
    <row r="685" spans="1:11" x14ac:dyDescent="0.2">
      <c r="A685" t="s">
        <v>1886</v>
      </c>
      <c r="B685" t="s">
        <v>761</v>
      </c>
      <c r="C685" t="s">
        <v>2627</v>
      </c>
      <c r="D685" t="s">
        <v>2628</v>
      </c>
      <c r="E685" t="s">
        <v>203</v>
      </c>
      <c r="F685" t="s">
        <v>6</v>
      </c>
      <c r="G685" t="s">
        <v>12</v>
      </c>
      <c r="H685">
        <f>33944*(1.01^10)</f>
        <v>37495.293424957934</v>
      </c>
      <c r="I685">
        <f>167486*(1.01^10)</f>
        <v>185008.74129662104</v>
      </c>
      <c r="J685" t="s">
        <v>2629</v>
      </c>
      <c r="K685">
        <f t="shared" si="10"/>
        <v>202.89723251298383</v>
      </c>
    </row>
    <row r="686" spans="1:11" x14ac:dyDescent="0.2">
      <c r="A686" t="s">
        <v>1886</v>
      </c>
      <c r="B686" t="s">
        <v>1576</v>
      </c>
      <c r="C686" t="s">
        <v>2630</v>
      </c>
      <c r="D686" t="s">
        <v>2631</v>
      </c>
      <c r="E686" t="s">
        <v>631</v>
      </c>
      <c r="F686" t="s">
        <v>12</v>
      </c>
      <c r="G686" t="s">
        <v>17</v>
      </c>
      <c r="H686">
        <f>51890*(1.01^10)</f>
        <v>57318.842087587414</v>
      </c>
      <c r="I686">
        <f>253344*(1.01^10)</f>
        <v>279849.38774017623</v>
      </c>
      <c r="J686" t="s">
        <v>2632</v>
      </c>
      <c r="K686">
        <f t="shared" si="10"/>
        <v>332.43542759809623</v>
      </c>
    </row>
    <row r="687" spans="1:11" x14ac:dyDescent="0.2">
      <c r="A687" t="s">
        <v>1886</v>
      </c>
      <c r="B687" t="s">
        <v>1576</v>
      </c>
      <c r="C687" t="s">
        <v>2633</v>
      </c>
      <c r="D687" t="s">
        <v>2634</v>
      </c>
      <c r="E687" t="s">
        <v>1263</v>
      </c>
      <c r="F687" t="s">
        <v>24</v>
      </c>
      <c r="G687" t="s">
        <v>12</v>
      </c>
      <c r="H687">
        <f>44340*(1.01^10)</f>
        <v>48978.945040732819</v>
      </c>
      <c r="I687">
        <f>214948*(1.01^10)</f>
        <v>237436.31661288763</v>
      </c>
      <c r="J687" t="s">
        <v>2635</v>
      </c>
      <c r="K687">
        <f t="shared" si="10"/>
        <v>234.50415964571539</v>
      </c>
    </row>
    <row r="688" spans="1:11" x14ac:dyDescent="0.2">
      <c r="A688" t="s">
        <v>1886</v>
      </c>
      <c r="B688" t="s">
        <v>1576</v>
      </c>
      <c r="C688" t="s">
        <v>2636</v>
      </c>
      <c r="D688" t="s">
        <v>2637</v>
      </c>
      <c r="E688" t="s">
        <v>769</v>
      </c>
      <c r="F688" t="s">
        <v>24</v>
      </c>
      <c r="G688" t="s">
        <v>24</v>
      </c>
      <c r="H688">
        <f>41790*(1.01^10)</f>
        <v>46162.158620934249</v>
      </c>
      <c r="I688">
        <f>230532*(1.01^10)</f>
        <v>254650.74781529585</v>
      </c>
      <c r="J688" t="s">
        <v>2638</v>
      </c>
      <c r="K688">
        <f t="shared" si="10"/>
        <v>146.53613119421681</v>
      </c>
    </row>
    <row r="689" spans="1:11" x14ac:dyDescent="0.2">
      <c r="A689" t="s">
        <v>1886</v>
      </c>
      <c r="B689" t="s">
        <v>1576</v>
      </c>
      <c r="C689" t="s">
        <v>2639</v>
      </c>
      <c r="D689" t="s">
        <v>2640</v>
      </c>
      <c r="E689" t="s">
        <v>1370</v>
      </c>
      <c r="F689" t="s">
        <v>24</v>
      </c>
      <c r="G689" t="s">
        <v>24</v>
      </c>
      <c r="H689">
        <f>51655*(1.01^10)</f>
        <v>57059.255888115782</v>
      </c>
      <c r="I689">
        <f>249297*(1.01^10)</f>
        <v>275378.98199863709</v>
      </c>
      <c r="J689" t="s">
        <v>2641</v>
      </c>
      <c r="K689">
        <f t="shared" si="10"/>
        <v>192.62875117804307</v>
      </c>
    </row>
    <row r="690" spans="1:11" x14ac:dyDescent="0.2">
      <c r="A690" t="s">
        <v>1886</v>
      </c>
      <c r="B690" t="s">
        <v>1576</v>
      </c>
      <c r="C690" t="s">
        <v>2642</v>
      </c>
      <c r="D690" t="s">
        <v>2643</v>
      </c>
      <c r="E690" t="s">
        <v>712</v>
      </c>
      <c r="F690" t="s">
        <v>24</v>
      </c>
      <c r="G690" t="s">
        <v>92</v>
      </c>
      <c r="H690">
        <f>186254*(1.01^10)</f>
        <v>205740.28934633854</v>
      </c>
      <c r="I690">
        <f>898133*(1.01^10)</f>
        <v>992097.58336194151</v>
      </c>
      <c r="J690" t="s">
        <v>2644</v>
      </c>
      <c r="K690">
        <f t="shared" si="10"/>
        <v>531.68697446702379</v>
      </c>
    </row>
    <row r="691" spans="1:11" x14ac:dyDescent="0.2">
      <c r="A691" t="s">
        <v>1886</v>
      </c>
      <c r="B691" t="s">
        <v>1576</v>
      </c>
      <c r="C691" t="s">
        <v>2645</v>
      </c>
      <c r="D691" t="s">
        <v>2646</v>
      </c>
      <c r="E691" t="s">
        <v>1200</v>
      </c>
      <c r="F691" t="s">
        <v>92</v>
      </c>
      <c r="G691" t="s">
        <v>17</v>
      </c>
      <c r="H691">
        <f>56959*(1.01^10)</f>
        <v>62918.171641296809</v>
      </c>
      <c r="I691">
        <f>271679*(1.01^10)</f>
        <v>300102.63440959068</v>
      </c>
      <c r="J691" t="s">
        <v>2647</v>
      </c>
      <c r="K691">
        <f t="shared" si="10"/>
        <v>280.08837002409297</v>
      </c>
    </row>
    <row r="692" spans="1:11" x14ac:dyDescent="0.2">
      <c r="A692" t="s">
        <v>1886</v>
      </c>
      <c r="B692" t="s">
        <v>1576</v>
      </c>
      <c r="C692" t="s">
        <v>2648</v>
      </c>
      <c r="D692" t="s">
        <v>2649</v>
      </c>
      <c r="E692" t="s">
        <v>503</v>
      </c>
      <c r="F692" t="s">
        <v>12</v>
      </c>
      <c r="G692" t="s">
        <v>24</v>
      </c>
      <c r="H692">
        <f>18864*(1.01^10)</f>
        <v>20837.591773756965</v>
      </c>
      <c r="I692">
        <f>91229*(1.01^10)</f>
        <v>100773.57187913879</v>
      </c>
      <c r="J692" t="s">
        <v>2650</v>
      </c>
      <c r="K692">
        <f t="shared" si="10"/>
        <v>183.96715702228289</v>
      </c>
    </row>
    <row r="693" spans="1:11" x14ac:dyDescent="0.2">
      <c r="A693" t="s">
        <v>1886</v>
      </c>
      <c r="B693" t="s">
        <v>1576</v>
      </c>
      <c r="C693" t="s">
        <v>2651</v>
      </c>
      <c r="D693" t="s">
        <v>2652</v>
      </c>
      <c r="E693" t="s">
        <v>2653</v>
      </c>
      <c r="F693" t="s">
        <v>24</v>
      </c>
      <c r="G693" t="s">
        <v>12</v>
      </c>
      <c r="H693">
        <f>50813*(1.01^10)</f>
        <v>56129.164058519549</v>
      </c>
      <c r="I693">
        <f>248337*(1.01^10)</f>
        <v>274318.54475824238</v>
      </c>
      <c r="J693" t="s">
        <v>2654</v>
      </c>
      <c r="K693">
        <f t="shared" si="10"/>
        <v>279.18396844158258</v>
      </c>
    </row>
    <row r="694" spans="1:11" x14ac:dyDescent="0.2">
      <c r="A694" t="s">
        <v>1886</v>
      </c>
      <c r="B694" t="s">
        <v>1576</v>
      </c>
      <c r="C694" t="s">
        <v>2655</v>
      </c>
      <c r="D694" t="s">
        <v>2656</v>
      </c>
      <c r="E694" t="s">
        <v>2553</v>
      </c>
      <c r="F694" t="s">
        <v>24</v>
      </c>
      <c r="G694" t="s">
        <v>5</v>
      </c>
      <c r="H694">
        <f>47845*(1.01^10)</f>
        <v>52850.645590299093</v>
      </c>
      <c r="I694">
        <f>231209*(1.01^10)</f>
        <v>255398.57699419925</v>
      </c>
      <c r="J694" t="s">
        <v>2657</v>
      </c>
      <c r="K694">
        <f t="shared" si="10"/>
        <v>275.65281227701252</v>
      </c>
    </row>
    <row r="695" spans="1:11" x14ac:dyDescent="0.2">
      <c r="A695" t="s">
        <v>1886</v>
      </c>
      <c r="B695" t="s">
        <v>1576</v>
      </c>
      <c r="C695" t="s">
        <v>2658</v>
      </c>
      <c r="D695" t="s">
        <v>2659</v>
      </c>
      <c r="E695" t="s">
        <v>1010</v>
      </c>
      <c r="F695" t="s">
        <v>24</v>
      </c>
      <c r="G695" t="s">
        <v>12</v>
      </c>
      <c r="H695">
        <f>32771*(1.01^10)</f>
        <v>36199.571671850594</v>
      </c>
      <c r="I695">
        <f>172935*(1.01^10)</f>
        <v>191027.8272579867</v>
      </c>
      <c r="J695" t="s">
        <v>2660</v>
      </c>
      <c r="K695">
        <f t="shared" si="10"/>
        <v>284.89855547789648</v>
      </c>
    </row>
    <row r="696" spans="1:11" x14ac:dyDescent="0.2">
      <c r="A696" t="s">
        <v>1886</v>
      </c>
      <c r="B696" t="s">
        <v>1576</v>
      </c>
      <c r="C696" t="s">
        <v>2661</v>
      </c>
      <c r="D696" t="s">
        <v>2662</v>
      </c>
      <c r="E696" t="s">
        <v>352</v>
      </c>
      <c r="F696" t="s">
        <v>12</v>
      </c>
      <c r="G696" t="s">
        <v>12</v>
      </c>
      <c r="H696">
        <f>40350*(1.01^10)</f>
        <v>44571.502760342111</v>
      </c>
      <c r="I696">
        <f>206777*(1.01^10)</f>
        <v>228410.44922615268</v>
      </c>
      <c r="J696" t="s">
        <v>2663</v>
      </c>
      <c r="K696">
        <f t="shared" si="10"/>
        <v>358.28504553370544</v>
      </c>
    </row>
    <row r="697" spans="1:11" x14ac:dyDescent="0.2">
      <c r="A697" t="s">
        <v>1886</v>
      </c>
      <c r="B697" t="s">
        <v>386</v>
      </c>
      <c r="C697" t="s">
        <v>2664</v>
      </c>
      <c r="D697" t="s">
        <v>2665</v>
      </c>
      <c r="E697" t="s">
        <v>806</v>
      </c>
      <c r="F697" t="s">
        <v>24</v>
      </c>
      <c r="G697" t="s">
        <v>12</v>
      </c>
      <c r="H697">
        <f>38775*(1.01^10)</f>
        <v>42831.722912819467</v>
      </c>
      <c r="I697">
        <f>189872*(1.01^10)</f>
        <v>209736.81219607627</v>
      </c>
      <c r="J697" t="s">
        <v>2666</v>
      </c>
      <c r="K697">
        <f t="shared" si="10"/>
        <v>227.27042299609906</v>
      </c>
    </row>
    <row r="698" spans="1:11" x14ac:dyDescent="0.2">
      <c r="A698" t="s">
        <v>1886</v>
      </c>
      <c r="B698" t="s">
        <v>386</v>
      </c>
      <c r="C698" t="s">
        <v>2667</v>
      </c>
      <c r="D698" t="s">
        <v>2668</v>
      </c>
      <c r="E698" t="s">
        <v>624</v>
      </c>
      <c r="F698" t="s">
        <v>11</v>
      </c>
      <c r="G698" t="s">
        <v>24</v>
      </c>
      <c r="H698">
        <f>32509*(1.01^10)</f>
        <v>35910.160674992854</v>
      </c>
      <c r="I698">
        <f>154063*(1.01^10)</f>
        <v>170181.39850722643</v>
      </c>
      <c r="J698" t="s">
        <v>2669</v>
      </c>
      <c r="K698">
        <f t="shared" si="10"/>
        <v>203.53544517467651</v>
      </c>
    </row>
    <row r="699" spans="1:11" x14ac:dyDescent="0.2">
      <c r="A699" t="s">
        <v>1886</v>
      </c>
      <c r="B699" t="s">
        <v>386</v>
      </c>
      <c r="C699" t="s">
        <v>2670</v>
      </c>
      <c r="D699" t="s">
        <v>2671</v>
      </c>
      <c r="E699" t="s">
        <v>1282</v>
      </c>
      <c r="F699" t="s">
        <v>152</v>
      </c>
      <c r="G699" t="s">
        <v>12</v>
      </c>
      <c r="H699">
        <f>27792*(1.01^10)</f>
        <v>30699.658109428201</v>
      </c>
      <c r="I699">
        <f>134077*(1.01^10)</f>
        <v>148104.42070875809</v>
      </c>
      <c r="J699" t="s">
        <v>2672</v>
      </c>
      <c r="K699">
        <f t="shared" si="10"/>
        <v>205.48263418396266</v>
      </c>
    </row>
    <row r="700" spans="1:11" x14ac:dyDescent="0.2">
      <c r="A700" t="s">
        <v>1886</v>
      </c>
      <c r="B700" t="s">
        <v>386</v>
      </c>
      <c r="C700" t="s">
        <v>2673</v>
      </c>
      <c r="D700" t="s">
        <v>2674</v>
      </c>
      <c r="E700" t="s">
        <v>438</v>
      </c>
      <c r="F700" t="s">
        <v>1340</v>
      </c>
      <c r="G700" t="s">
        <v>12</v>
      </c>
      <c r="H700">
        <f>51430*(1.01^10)</f>
        <v>56810.715909898259</v>
      </c>
      <c r="I700">
        <f>248813*(1.01^10)</f>
        <v>274844.34488993807</v>
      </c>
      <c r="J700" t="s">
        <v>2675</v>
      </c>
      <c r="K700">
        <f t="shared" si="10"/>
        <v>208.51823274447474</v>
      </c>
    </row>
    <row r="701" spans="1:11" x14ac:dyDescent="0.2">
      <c r="A701" t="s">
        <v>1886</v>
      </c>
      <c r="B701" t="s">
        <v>386</v>
      </c>
      <c r="C701" t="s">
        <v>2676</v>
      </c>
      <c r="D701" t="s">
        <v>2677</v>
      </c>
      <c r="E701" t="s">
        <v>486</v>
      </c>
      <c r="F701" t="s">
        <v>12</v>
      </c>
      <c r="G701" t="s">
        <v>24</v>
      </c>
      <c r="H701">
        <f>28220*(1.01^10)</f>
        <v>31172.436379104198</v>
      </c>
      <c r="I701">
        <f>141023*(1.01^10)</f>
        <v>155777.12599186433</v>
      </c>
      <c r="J701" t="s">
        <v>2678</v>
      </c>
      <c r="K701">
        <f t="shared" si="10"/>
        <v>239.22730363079992</v>
      </c>
    </row>
    <row r="702" spans="1:11" x14ac:dyDescent="0.2">
      <c r="A702" t="s">
        <v>2679</v>
      </c>
      <c r="B702" t="s">
        <v>390</v>
      </c>
      <c r="C702" t="s">
        <v>2680</v>
      </c>
      <c r="D702" t="s">
        <v>2681</v>
      </c>
      <c r="E702" t="s">
        <v>118</v>
      </c>
      <c r="F702" t="s">
        <v>264</v>
      </c>
      <c r="G702" t="s">
        <v>17</v>
      </c>
      <c r="H702">
        <f>91107*(1.01^10)</f>
        <v>100638.80797983863</v>
      </c>
      <c r="I702">
        <f>519420*(1.01^10)</f>
        <v>573762.82438108802</v>
      </c>
      <c r="J702" t="s">
        <v>2682</v>
      </c>
      <c r="K702">
        <f t="shared" si="10"/>
        <v>562.54257433960288</v>
      </c>
    </row>
    <row r="703" spans="1:11" x14ac:dyDescent="0.2">
      <c r="A703" t="s">
        <v>2679</v>
      </c>
      <c r="B703" t="s">
        <v>390</v>
      </c>
      <c r="C703" t="s">
        <v>2683</v>
      </c>
      <c r="D703" t="s">
        <v>2684</v>
      </c>
      <c r="E703" t="s">
        <v>114</v>
      </c>
      <c r="F703" t="s">
        <v>1549</v>
      </c>
      <c r="G703" t="s">
        <v>5</v>
      </c>
      <c r="H703">
        <f>242107*(1.01^10)</f>
        <v>267436.74891693052</v>
      </c>
      <c r="I703">
        <f>1369818*(1.01^10)</f>
        <v>1513131.2705865256</v>
      </c>
      <c r="J703" t="s">
        <v>2685</v>
      </c>
      <c r="K703">
        <f t="shared" si="10"/>
        <v>1923.4096672417579</v>
      </c>
    </row>
    <row r="704" spans="1:11" x14ac:dyDescent="0.2">
      <c r="A704" t="s">
        <v>2679</v>
      </c>
      <c r="B704" t="s">
        <v>390</v>
      </c>
      <c r="C704" t="s">
        <v>2687</v>
      </c>
      <c r="D704" t="s">
        <v>2688</v>
      </c>
      <c r="E704" t="s">
        <v>500</v>
      </c>
      <c r="F704" t="s">
        <v>232</v>
      </c>
      <c r="G704" t="s">
        <v>158</v>
      </c>
      <c r="H704">
        <f>115911*(1.01^10)</f>
        <v>128037.85517853816</v>
      </c>
      <c r="I704">
        <f>698990*(1.01^10)</f>
        <v>772119.819441178</v>
      </c>
      <c r="J704" t="s">
        <v>2689</v>
      </c>
      <c r="K704">
        <f t="shared" si="10"/>
        <v>897.70622792681559</v>
      </c>
    </row>
    <row r="705" spans="1:11" x14ac:dyDescent="0.2">
      <c r="A705" t="s">
        <v>2679</v>
      </c>
      <c r="B705" t="s">
        <v>390</v>
      </c>
      <c r="C705" t="s">
        <v>2690</v>
      </c>
      <c r="D705" t="s">
        <v>2691</v>
      </c>
      <c r="E705" t="s">
        <v>631</v>
      </c>
      <c r="F705" t="s">
        <v>837</v>
      </c>
      <c r="G705" t="s">
        <v>17</v>
      </c>
      <c r="H705">
        <f>85819*(1.01^10)</f>
        <v>94797.566180664187</v>
      </c>
      <c r="I705">
        <f>514338*(1.01^10)</f>
        <v>568149.1347397482</v>
      </c>
      <c r="J705" t="s">
        <v>2692</v>
      </c>
      <c r="K705">
        <f t="shared" si="10"/>
        <v>1029.6175951280434</v>
      </c>
    </row>
    <row r="706" spans="1:11" x14ac:dyDescent="0.2">
      <c r="A706" t="s">
        <v>2679</v>
      </c>
      <c r="B706" t="s">
        <v>390</v>
      </c>
      <c r="C706" t="s">
        <v>2693</v>
      </c>
      <c r="D706" t="s">
        <v>2694</v>
      </c>
      <c r="E706" t="s">
        <v>328</v>
      </c>
      <c r="F706" t="s">
        <v>142</v>
      </c>
      <c r="G706" t="s">
        <v>17</v>
      </c>
      <c r="H706">
        <f>62712*(1.01^10)</f>
        <v>69273.062728787467</v>
      </c>
      <c r="I706">
        <f>363816*(1.01^10)</f>
        <v>401879.20317860285</v>
      </c>
      <c r="J706" t="s">
        <v>2695</v>
      </c>
      <c r="K706">
        <f t="shared" si="10"/>
        <v>854.2332661714936</v>
      </c>
    </row>
    <row r="707" spans="1:11" x14ac:dyDescent="0.2">
      <c r="A707" t="s">
        <v>2679</v>
      </c>
      <c r="B707" t="s">
        <v>1295</v>
      </c>
      <c r="C707" t="s">
        <v>2696</v>
      </c>
      <c r="D707" t="s">
        <v>2697</v>
      </c>
      <c r="E707" t="s">
        <v>328</v>
      </c>
      <c r="F707" t="s">
        <v>427</v>
      </c>
      <c r="G707" t="s">
        <v>5</v>
      </c>
      <c r="H707">
        <f>94032*(1.01^10)</f>
        <v>103869.8276966664</v>
      </c>
      <c r="I707">
        <f>586254*(1.01^10)</f>
        <v>647589.13951082039</v>
      </c>
      <c r="J707" t="s">
        <v>2698</v>
      </c>
      <c r="K707">
        <f t="shared" ref="K707:K770" si="11">I707/J707</f>
        <v>988.31664564197149</v>
      </c>
    </row>
    <row r="708" spans="1:11" x14ac:dyDescent="0.2">
      <c r="A708" t="s">
        <v>2679</v>
      </c>
      <c r="B708" t="s">
        <v>1295</v>
      </c>
      <c r="C708" t="s">
        <v>2699</v>
      </c>
      <c r="D708" t="s">
        <v>2700</v>
      </c>
      <c r="E708" t="s">
        <v>58</v>
      </c>
      <c r="F708" t="s">
        <v>12</v>
      </c>
      <c r="G708" t="s">
        <v>158</v>
      </c>
      <c r="H708">
        <f>113304*(1.01^10)</f>
        <v>125158.10529759114</v>
      </c>
      <c r="I708">
        <f>687324*(1.01^10)</f>
        <v>759233.29772613093</v>
      </c>
      <c r="J708" t="s">
        <v>2701</v>
      </c>
      <c r="K708">
        <f t="shared" si="11"/>
        <v>1243.7011601687536</v>
      </c>
    </row>
    <row r="709" spans="1:11" x14ac:dyDescent="0.2">
      <c r="A709" t="s">
        <v>2679</v>
      </c>
      <c r="B709" t="s">
        <v>1295</v>
      </c>
      <c r="C709" t="s">
        <v>2702</v>
      </c>
      <c r="D709" t="s">
        <v>2703</v>
      </c>
      <c r="E709" t="s">
        <v>2342</v>
      </c>
      <c r="F709" t="s">
        <v>374</v>
      </c>
      <c r="G709" t="s">
        <v>6</v>
      </c>
      <c r="H709">
        <f>234160*(1.01^10)</f>
        <v>258658.31688628771</v>
      </c>
      <c r="I709">
        <f>1406843*(1.01^10)</f>
        <v>1554029.9047798754</v>
      </c>
      <c r="J709" t="s">
        <v>2704</v>
      </c>
      <c r="K709">
        <f t="shared" si="11"/>
        <v>1487.2157857253815</v>
      </c>
    </row>
    <row r="710" spans="1:11" x14ac:dyDescent="0.2">
      <c r="A710" t="s">
        <v>2679</v>
      </c>
      <c r="B710" t="s">
        <v>1295</v>
      </c>
      <c r="C710" t="s">
        <v>2705</v>
      </c>
      <c r="D710" t="s">
        <v>2706</v>
      </c>
      <c r="E710" t="s">
        <v>1303</v>
      </c>
      <c r="F710" t="s">
        <v>744</v>
      </c>
      <c r="G710" t="s">
        <v>11</v>
      </c>
      <c r="H710">
        <f>82129*(1.01^10)</f>
        <v>90721.510537896829</v>
      </c>
      <c r="I710">
        <f>532496*(1.01^10)</f>
        <v>588206.86329296487</v>
      </c>
      <c r="J710" t="s">
        <v>2707</v>
      </c>
      <c r="K710">
        <f t="shared" si="11"/>
        <v>1129.2366949960031</v>
      </c>
    </row>
    <row r="711" spans="1:11" x14ac:dyDescent="0.2">
      <c r="A711" t="s">
        <v>2679</v>
      </c>
      <c r="B711" t="s">
        <v>1295</v>
      </c>
      <c r="C711" t="s">
        <v>2708</v>
      </c>
      <c r="D711" t="s">
        <v>2709</v>
      </c>
      <c r="E711" t="s">
        <v>560</v>
      </c>
      <c r="F711" t="s">
        <v>44</v>
      </c>
      <c r="G711" t="s">
        <v>5</v>
      </c>
      <c r="H711">
        <f>72243*(1.01^10)</f>
        <v>79801.216206081663</v>
      </c>
      <c r="I711">
        <f>433910*(1.01^10)</f>
        <v>479306.58643717587</v>
      </c>
      <c r="J711" t="s">
        <v>2710</v>
      </c>
      <c r="K711">
        <f t="shared" si="11"/>
        <v>1095.3841921729231</v>
      </c>
    </row>
    <row r="712" spans="1:11" x14ac:dyDescent="0.2">
      <c r="A712" t="s">
        <v>2679</v>
      </c>
      <c r="B712" t="s">
        <v>1295</v>
      </c>
      <c r="C712" t="s">
        <v>2711</v>
      </c>
      <c r="D712" t="s">
        <v>2712</v>
      </c>
      <c r="E712" t="s">
        <v>386</v>
      </c>
      <c r="F712" t="s">
        <v>1027</v>
      </c>
      <c r="G712" t="s">
        <v>11</v>
      </c>
      <c r="H712">
        <f>80774*(1.01^10)</f>
        <v>89224.747557964656</v>
      </c>
      <c r="I712">
        <f>496685*(1.01^10)</f>
        <v>548649.2403598642</v>
      </c>
      <c r="J712" t="s">
        <v>2713</v>
      </c>
      <c r="K712">
        <f t="shared" si="11"/>
        <v>742.51691948957432</v>
      </c>
    </row>
    <row r="713" spans="1:11" x14ac:dyDescent="0.2">
      <c r="A713" t="s">
        <v>2679</v>
      </c>
      <c r="B713" t="s">
        <v>58</v>
      </c>
      <c r="C713" t="s">
        <v>2714</v>
      </c>
      <c r="D713" t="s">
        <v>2715</v>
      </c>
      <c r="E713" t="s">
        <v>1332</v>
      </c>
      <c r="F713" t="s">
        <v>4</v>
      </c>
      <c r="G713" t="s">
        <v>92</v>
      </c>
      <c r="H713">
        <f>124255*(1.01^10)</f>
        <v>137254.82219296924</v>
      </c>
      <c r="I713">
        <f>721574*(1.01^10)</f>
        <v>797066.6055214646</v>
      </c>
      <c r="J713" t="s">
        <v>2716</v>
      </c>
      <c r="K713">
        <f t="shared" si="11"/>
        <v>894.1261367523407</v>
      </c>
    </row>
    <row r="714" spans="1:11" x14ac:dyDescent="0.2">
      <c r="A714" t="s">
        <v>2679</v>
      </c>
      <c r="B714" t="s">
        <v>58</v>
      </c>
      <c r="C714" t="s">
        <v>2717</v>
      </c>
      <c r="D714" t="s">
        <v>2718</v>
      </c>
      <c r="E714" t="s">
        <v>154</v>
      </c>
      <c r="F714" t="s">
        <v>418</v>
      </c>
      <c r="G714" t="s">
        <v>158</v>
      </c>
      <c r="H714">
        <f>111966*(1.01^10)</f>
        <v>123680.12089379095</v>
      </c>
      <c r="I714">
        <f>628536*(1.01^10)</f>
        <v>694294.77221745695</v>
      </c>
      <c r="J714" t="s">
        <v>2719</v>
      </c>
      <c r="K714">
        <f t="shared" si="11"/>
        <v>835.8646277348638</v>
      </c>
    </row>
    <row r="715" spans="1:11" x14ac:dyDescent="0.2">
      <c r="A715" t="s">
        <v>2679</v>
      </c>
      <c r="B715" t="s">
        <v>58</v>
      </c>
      <c r="C715" t="s">
        <v>2720</v>
      </c>
      <c r="D715" t="s">
        <v>2721</v>
      </c>
      <c r="E715" t="s">
        <v>2421</v>
      </c>
      <c r="F715" t="s">
        <v>203</v>
      </c>
      <c r="G715" t="s">
        <v>11</v>
      </c>
      <c r="H715">
        <f>83525*(1.01^10)</f>
        <v>92263.563024970877</v>
      </c>
      <c r="I715">
        <f>502488*(1.01^10)</f>
        <v>555059.36255362548</v>
      </c>
      <c r="J715" t="s">
        <v>2722</v>
      </c>
      <c r="K715">
        <f t="shared" si="11"/>
        <v>801.69492558842865</v>
      </c>
    </row>
    <row r="716" spans="1:11" x14ac:dyDescent="0.2">
      <c r="A716" t="s">
        <v>2679</v>
      </c>
      <c r="B716" t="s">
        <v>58</v>
      </c>
      <c r="C716" t="s">
        <v>2723</v>
      </c>
      <c r="D716" t="s">
        <v>2724</v>
      </c>
      <c r="E716" t="s">
        <v>2725</v>
      </c>
      <c r="F716" t="s">
        <v>2726</v>
      </c>
      <c r="G716" t="s">
        <v>744</v>
      </c>
      <c r="H716">
        <f>192787*(1.01^10)</f>
        <v>212956.78569164994</v>
      </c>
      <c r="I716">
        <f>1123962*(1.01^10)</f>
        <v>1241553.2933214286</v>
      </c>
      <c r="J716" t="s">
        <v>2727</v>
      </c>
      <c r="K716">
        <f t="shared" si="11"/>
        <v>919.55376895307154</v>
      </c>
    </row>
    <row r="717" spans="1:11" x14ac:dyDescent="0.2">
      <c r="A717" t="s">
        <v>2679</v>
      </c>
      <c r="B717" t="s">
        <v>58</v>
      </c>
      <c r="C717" t="s">
        <v>2728</v>
      </c>
      <c r="D717" t="s">
        <v>2729</v>
      </c>
      <c r="E717" t="s">
        <v>746</v>
      </c>
      <c r="F717" t="s">
        <v>337</v>
      </c>
      <c r="G717" t="s">
        <v>11</v>
      </c>
      <c r="H717">
        <f>120664*(1.01^10)</f>
        <v>133288.12414061761</v>
      </c>
      <c r="I717">
        <f>706153*(1.01^10)</f>
        <v>780032.22772549849</v>
      </c>
      <c r="J717" t="s">
        <v>2730</v>
      </c>
      <c r="K717">
        <f t="shared" si="11"/>
        <v>979.45796825785658</v>
      </c>
    </row>
    <row r="718" spans="1:11" x14ac:dyDescent="0.2">
      <c r="A718" t="s">
        <v>2679</v>
      </c>
      <c r="B718" t="s">
        <v>1049</v>
      </c>
      <c r="C718" t="s">
        <v>2731</v>
      </c>
      <c r="D718" t="s">
        <v>2732</v>
      </c>
      <c r="E718" t="s">
        <v>416</v>
      </c>
      <c r="F718" t="s">
        <v>537</v>
      </c>
      <c r="G718" t="s">
        <v>12</v>
      </c>
      <c r="H718">
        <f>82227*(1.01^10)</f>
        <v>90829.763506187126</v>
      </c>
      <c r="I718">
        <f>502000*(1.01^10)</f>
        <v>554520.30695642473</v>
      </c>
      <c r="J718" t="s">
        <v>2733</v>
      </c>
      <c r="K718">
        <f t="shared" si="11"/>
        <v>1024.7572062166541</v>
      </c>
    </row>
    <row r="719" spans="1:11" x14ac:dyDescent="0.2">
      <c r="A719" t="s">
        <v>2679</v>
      </c>
      <c r="B719" t="s">
        <v>1049</v>
      </c>
      <c r="C719" t="s">
        <v>2734</v>
      </c>
      <c r="D719" t="s">
        <v>2735</v>
      </c>
      <c r="E719" t="s">
        <v>1441</v>
      </c>
      <c r="F719" t="s">
        <v>674</v>
      </c>
      <c r="G719" t="s">
        <v>11</v>
      </c>
      <c r="H719">
        <f>50803*(1.01^10)</f>
        <v>56118.117837265432</v>
      </c>
      <c r="I719">
        <f>304082*(1.01^10)</f>
        <v>335895.70513928996</v>
      </c>
      <c r="J719" t="s">
        <v>2736</v>
      </c>
      <c r="K719">
        <f t="shared" si="11"/>
        <v>849.58022286364587</v>
      </c>
    </row>
    <row r="720" spans="1:11" x14ac:dyDescent="0.2">
      <c r="A720" t="s">
        <v>2679</v>
      </c>
      <c r="B720" t="s">
        <v>1049</v>
      </c>
      <c r="C720" t="s">
        <v>2737</v>
      </c>
      <c r="D720" t="s">
        <v>2738</v>
      </c>
      <c r="E720" t="s">
        <v>754</v>
      </c>
      <c r="F720" t="s">
        <v>23</v>
      </c>
      <c r="G720" t="s">
        <v>92</v>
      </c>
      <c r="H720">
        <f>281745*(1.01^10)</f>
        <v>311221.76072397985</v>
      </c>
      <c r="I720">
        <f>1646613*(1.01^10)</f>
        <v>1818885.1517897202</v>
      </c>
      <c r="J720" t="s">
        <v>2739</v>
      </c>
      <c r="K720">
        <f t="shared" si="11"/>
        <v>2409.8277161975916</v>
      </c>
    </row>
    <row r="721" spans="1:11" x14ac:dyDescent="0.2">
      <c r="A721" t="s">
        <v>2679</v>
      </c>
      <c r="B721" t="s">
        <v>1049</v>
      </c>
      <c r="C721" t="s">
        <v>2740</v>
      </c>
      <c r="D721" t="s">
        <v>2741</v>
      </c>
      <c r="E721" t="s">
        <v>1200</v>
      </c>
      <c r="F721" t="s">
        <v>16</v>
      </c>
      <c r="G721" t="s">
        <v>11</v>
      </c>
      <c r="H721">
        <f>109896*(1.01^10)</f>
        <v>121393.55309418976</v>
      </c>
      <c r="I721">
        <f>673812*(1.01^10)</f>
        <v>744307.64356757468</v>
      </c>
      <c r="J721" t="s">
        <v>2742</v>
      </c>
      <c r="K721">
        <f t="shared" si="11"/>
        <v>1372.9017435818985</v>
      </c>
    </row>
    <row r="722" spans="1:11" x14ac:dyDescent="0.2">
      <c r="A722" t="s">
        <v>2679</v>
      </c>
      <c r="B722" t="s">
        <v>1049</v>
      </c>
      <c r="C722" t="s">
        <v>2743</v>
      </c>
      <c r="D722" t="s">
        <v>2744</v>
      </c>
      <c r="E722" t="s">
        <v>1366</v>
      </c>
      <c r="F722" t="s">
        <v>56</v>
      </c>
      <c r="G722" t="s">
        <v>17</v>
      </c>
      <c r="H722">
        <f>161176*(1.01^10)</f>
        <v>178038.57568527633</v>
      </c>
      <c r="I722">
        <f>993393*(1.01^10)</f>
        <v>1097323.8870286129</v>
      </c>
      <c r="J722" t="s">
        <v>2745</v>
      </c>
      <c r="K722">
        <f t="shared" si="11"/>
        <v>1264.9211783064109</v>
      </c>
    </row>
    <row r="723" spans="1:11" x14ac:dyDescent="0.2">
      <c r="A723" t="s">
        <v>2679</v>
      </c>
      <c r="B723" t="s">
        <v>1049</v>
      </c>
      <c r="C723" t="s">
        <v>2746</v>
      </c>
      <c r="D723" t="s">
        <v>2747</v>
      </c>
      <c r="E723" t="s">
        <v>1032</v>
      </c>
      <c r="F723" t="s">
        <v>318</v>
      </c>
      <c r="G723" t="s">
        <v>11</v>
      </c>
      <c r="H723">
        <f>110323*(1.01^10)</f>
        <v>121865.22674174033</v>
      </c>
      <c r="I723">
        <f>652106*(1.01^10)</f>
        <v>720330.71571339911</v>
      </c>
      <c r="J723" t="s">
        <v>2748</v>
      </c>
      <c r="K723">
        <f t="shared" si="11"/>
        <v>1167.3074480803702</v>
      </c>
    </row>
    <row r="724" spans="1:11" x14ac:dyDescent="0.2">
      <c r="A724" t="s">
        <v>2679</v>
      </c>
      <c r="B724" t="s">
        <v>1233</v>
      </c>
      <c r="C724" t="s">
        <v>2749</v>
      </c>
      <c r="D724" t="s">
        <v>2750</v>
      </c>
      <c r="E724" t="s">
        <v>971</v>
      </c>
      <c r="F724" t="s">
        <v>158</v>
      </c>
      <c r="G724" t="s">
        <v>17</v>
      </c>
      <c r="H724">
        <f>56180*(1.01^10)</f>
        <v>62057.671005601485</v>
      </c>
      <c r="I724">
        <f>343409*(1.01^10)</f>
        <v>379337.17946533643</v>
      </c>
      <c r="J724" t="s">
        <v>2751</v>
      </c>
      <c r="K724">
        <f t="shared" si="11"/>
        <v>930.30607987238045</v>
      </c>
    </row>
    <row r="725" spans="1:11" x14ac:dyDescent="0.2">
      <c r="A725" t="s">
        <v>2679</v>
      </c>
      <c r="B725" t="s">
        <v>1233</v>
      </c>
      <c r="C725" t="s">
        <v>2752</v>
      </c>
      <c r="D725" t="s">
        <v>2753</v>
      </c>
      <c r="E725" t="s">
        <v>310</v>
      </c>
      <c r="F725" t="s">
        <v>318</v>
      </c>
      <c r="G725" t="s">
        <v>12</v>
      </c>
      <c r="H725">
        <f>55267*(1.01^10)</f>
        <v>61049.151005101055</v>
      </c>
      <c r="I725">
        <f>340587*(1.01^10)</f>
        <v>376219.93582742597</v>
      </c>
      <c r="J725" t="s">
        <v>2754</v>
      </c>
      <c r="K725">
        <f t="shared" si="11"/>
        <v>1203.5639234448911</v>
      </c>
    </row>
    <row r="726" spans="1:11" x14ac:dyDescent="0.2">
      <c r="A726" t="s">
        <v>2679</v>
      </c>
      <c r="B726" t="s">
        <v>1233</v>
      </c>
      <c r="C726" t="s">
        <v>2755</v>
      </c>
      <c r="D726" t="s">
        <v>1536</v>
      </c>
      <c r="E726" t="s">
        <v>305</v>
      </c>
      <c r="F726" t="s">
        <v>158</v>
      </c>
      <c r="G726" t="s">
        <v>17</v>
      </c>
      <c r="H726">
        <f>50019*(1.01^10)</f>
        <v>55252.09409094305</v>
      </c>
      <c r="I726">
        <f>289195*(1.01^10)</f>
        <v>319451.19555829337</v>
      </c>
      <c r="J726" t="s">
        <v>2756</v>
      </c>
      <c r="K726">
        <f t="shared" si="11"/>
        <v>656.58063548520818</v>
      </c>
    </row>
    <row r="727" spans="1:11" x14ac:dyDescent="0.2">
      <c r="A727" t="s">
        <v>2679</v>
      </c>
      <c r="B727" t="s">
        <v>1233</v>
      </c>
      <c r="C727" t="s">
        <v>2758</v>
      </c>
      <c r="D727" t="s">
        <v>801</v>
      </c>
      <c r="E727" t="s">
        <v>310</v>
      </c>
      <c r="F727" t="s">
        <v>92</v>
      </c>
      <c r="G727" t="s">
        <v>11</v>
      </c>
      <c r="H727">
        <f>115488*(1.01^10)</f>
        <v>127570.60001948921</v>
      </c>
      <c r="I727">
        <f>670879*(1.01^10)</f>
        <v>741067.78687374364</v>
      </c>
      <c r="J727" t="s">
        <v>2759</v>
      </c>
      <c r="K727">
        <f t="shared" si="11"/>
        <v>2254.0165376414839</v>
      </c>
    </row>
    <row r="728" spans="1:11" x14ac:dyDescent="0.2">
      <c r="A728" t="s">
        <v>2679</v>
      </c>
      <c r="B728" t="s">
        <v>1233</v>
      </c>
      <c r="C728" t="s">
        <v>2760</v>
      </c>
      <c r="D728" t="s">
        <v>2761</v>
      </c>
      <c r="E728" t="s">
        <v>811</v>
      </c>
      <c r="F728" t="s">
        <v>356</v>
      </c>
      <c r="G728" t="s">
        <v>12</v>
      </c>
      <c r="H728">
        <f>59601*(1.01^10)</f>
        <v>65836.583296633209</v>
      </c>
      <c r="I728">
        <f>355070*(1.01^10)</f>
        <v>392218.17806975648</v>
      </c>
      <c r="J728" t="s">
        <v>2762</v>
      </c>
      <c r="K728">
        <f t="shared" si="11"/>
        <v>911.50579309619343</v>
      </c>
    </row>
    <row r="729" spans="1:11" x14ac:dyDescent="0.2">
      <c r="A729" t="s">
        <v>2679</v>
      </c>
      <c r="B729" t="s">
        <v>1233</v>
      </c>
      <c r="C729" t="s">
        <v>2764</v>
      </c>
      <c r="D729" t="s">
        <v>2765</v>
      </c>
      <c r="E729" t="s">
        <v>157</v>
      </c>
      <c r="F729" t="s">
        <v>92</v>
      </c>
      <c r="G729" t="s">
        <v>12</v>
      </c>
      <c r="H729">
        <f>57181*(1.01^10)</f>
        <v>63163.397753138095</v>
      </c>
      <c r="I729">
        <f>336679*(1.01^10)</f>
        <v>371903.07256131899</v>
      </c>
      <c r="J729" t="s">
        <v>2766</v>
      </c>
      <c r="K729">
        <f t="shared" si="11"/>
        <v>927.34601544264194</v>
      </c>
    </row>
    <row r="730" spans="1:11" x14ac:dyDescent="0.2">
      <c r="A730" t="s">
        <v>2679</v>
      </c>
      <c r="B730" t="s">
        <v>771</v>
      </c>
      <c r="C730" t="s">
        <v>2767</v>
      </c>
      <c r="D730" t="s">
        <v>2768</v>
      </c>
      <c r="E730" t="s">
        <v>2769</v>
      </c>
      <c r="F730" t="s">
        <v>91</v>
      </c>
      <c r="G730" t="s">
        <v>11</v>
      </c>
      <c r="H730">
        <f>81454*(1.01^10)</f>
        <v>89975.890603244276</v>
      </c>
      <c r="I730">
        <f>468098*(1.01^10)</f>
        <v>517071.40766073414</v>
      </c>
      <c r="J730" t="s">
        <v>2770</v>
      </c>
      <c r="K730">
        <f t="shared" si="11"/>
        <v>726.64313434209839</v>
      </c>
    </row>
    <row r="731" spans="1:11" x14ac:dyDescent="0.2">
      <c r="A731" t="s">
        <v>2679</v>
      </c>
      <c r="B731" t="s">
        <v>771</v>
      </c>
      <c r="C731" t="s">
        <v>2771</v>
      </c>
      <c r="D731" t="s">
        <v>2772</v>
      </c>
      <c r="E731" t="s">
        <v>604</v>
      </c>
      <c r="F731" t="s">
        <v>674</v>
      </c>
      <c r="G731" t="s">
        <v>5</v>
      </c>
      <c r="H731">
        <f>131935*(1.01^10)</f>
        <v>145738.32011612729</v>
      </c>
      <c r="I731">
        <f>776206*(1.01^10)</f>
        <v>857414.32147692959</v>
      </c>
      <c r="J731" t="s">
        <v>2773</v>
      </c>
      <c r="K731">
        <f t="shared" si="11"/>
        <v>1352.4077680304304</v>
      </c>
    </row>
    <row r="732" spans="1:11" x14ac:dyDescent="0.2">
      <c r="A732" t="s">
        <v>2679</v>
      </c>
      <c r="B732" t="s">
        <v>771</v>
      </c>
      <c r="C732" t="s">
        <v>2774</v>
      </c>
      <c r="D732" t="s">
        <v>2775</v>
      </c>
      <c r="E732" t="s">
        <v>1934</v>
      </c>
      <c r="F732" t="s">
        <v>537</v>
      </c>
      <c r="G732" t="s">
        <v>17</v>
      </c>
      <c r="H732">
        <f>101012*(1.01^10)</f>
        <v>111580.09013203661</v>
      </c>
      <c r="I732">
        <f>595917*(1.01^10)</f>
        <v>658263.10310866893</v>
      </c>
      <c r="J732" t="s">
        <v>2776</v>
      </c>
      <c r="K732">
        <f t="shared" si="11"/>
        <v>728.63428982569837</v>
      </c>
    </row>
    <row r="733" spans="1:11" x14ac:dyDescent="0.2">
      <c r="A733" t="s">
        <v>2679</v>
      </c>
      <c r="B733" t="s">
        <v>2777</v>
      </c>
      <c r="C733" t="s">
        <v>2778</v>
      </c>
      <c r="D733" t="s">
        <v>2779</v>
      </c>
      <c r="E733" t="s">
        <v>555</v>
      </c>
      <c r="F733" t="s">
        <v>744</v>
      </c>
      <c r="G733" t="s">
        <v>5</v>
      </c>
      <c r="H733">
        <f>91687*(1.01^10)</f>
        <v>101279.48881257712</v>
      </c>
      <c r="I733">
        <f>569091*(1.01^10)</f>
        <v>628630.50997238792</v>
      </c>
      <c r="J733" t="s">
        <v>2780</v>
      </c>
      <c r="K733">
        <f t="shared" si="11"/>
        <v>1073.9977275935551</v>
      </c>
    </row>
    <row r="734" spans="1:11" x14ac:dyDescent="0.2">
      <c r="A734" t="s">
        <v>2679</v>
      </c>
      <c r="B734" t="s">
        <v>2777</v>
      </c>
      <c r="C734" t="s">
        <v>2781</v>
      </c>
      <c r="D734" t="s">
        <v>2782</v>
      </c>
      <c r="E734" t="s">
        <v>2653</v>
      </c>
      <c r="F734" t="s">
        <v>47</v>
      </c>
      <c r="G734" t="s">
        <v>158</v>
      </c>
      <c r="H734">
        <f>126121*(1.01^10)</f>
        <v>139316.04707898656</v>
      </c>
      <c r="I734">
        <f>772441*(1.01^10)</f>
        <v>853255.41917475639</v>
      </c>
      <c r="J734" t="s">
        <v>2783</v>
      </c>
      <c r="K734">
        <f t="shared" si="11"/>
        <v>817.1110810290304</v>
      </c>
    </row>
    <row r="735" spans="1:11" x14ac:dyDescent="0.2">
      <c r="A735" t="s">
        <v>2679</v>
      </c>
      <c r="B735" t="s">
        <v>2777</v>
      </c>
      <c r="C735" t="s">
        <v>2784</v>
      </c>
      <c r="D735" t="s">
        <v>2785</v>
      </c>
      <c r="E735" t="s">
        <v>563</v>
      </c>
      <c r="F735" t="s">
        <v>458</v>
      </c>
      <c r="G735" t="s">
        <v>152</v>
      </c>
      <c r="H735">
        <f>361302*(1.01^10)</f>
        <v>399102.18315531907</v>
      </c>
      <c r="I735">
        <f>2102157*(1.01^10)</f>
        <v>2322089.1332880422</v>
      </c>
      <c r="J735" t="s">
        <v>2786</v>
      </c>
      <c r="K735">
        <f t="shared" si="11"/>
        <v>2498.37000122376</v>
      </c>
    </row>
    <row r="736" spans="1:11" x14ac:dyDescent="0.2">
      <c r="A736" t="s">
        <v>2679</v>
      </c>
      <c r="B736" t="s">
        <v>679</v>
      </c>
      <c r="C736" t="s">
        <v>2787</v>
      </c>
      <c r="D736" t="s">
        <v>2788</v>
      </c>
      <c r="E736" t="s">
        <v>679</v>
      </c>
      <c r="F736" t="s">
        <v>108</v>
      </c>
      <c r="G736" t="s">
        <v>5</v>
      </c>
      <c r="H736">
        <f>115230*(1.01^10)</f>
        <v>127285.60751113313</v>
      </c>
      <c r="I736">
        <f>713106*(1.01^10)</f>
        <v>787712.66536348255</v>
      </c>
      <c r="J736" t="s">
        <v>2789</v>
      </c>
      <c r="K736">
        <f t="shared" si="11"/>
        <v>1077.5614197632774</v>
      </c>
    </row>
    <row r="737" spans="1:11" x14ac:dyDescent="0.2">
      <c r="A737" t="s">
        <v>2679</v>
      </c>
      <c r="B737" t="s">
        <v>679</v>
      </c>
      <c r="C737" t="s">
        <v>2790</v>
      </c>
      <c r="D737" t="s">
        <v>2791</v>
      </c>
      <c r="E737" t="s">
        <v>489</v>
      </c>
      <c r="F737" t="s">
        <v>405</v>
      </c>
      <c r="G737" t="s">
        <v>11</v>
      </c>
      <c r="H737">
        <f>64795*(1.01^10)</f>
        <v>71573.990616019015</v>
      </c>
      <c r="I737">
        <f>404950*(1.01^10)</f>
        <v>447316.72968526738</v>
      </c>
      <c r="J737" t="s">
        <v>2792</v>
      </c>
      <c r="K737">
        <f t="shared" si="11"/>
        <v>1024.0643157242996</v>
      </c>
    </row>
    <row r="738" spans="1:11" x14ac:dyDescent="0.2">
      <c r="A738" t="s">
        <v>2679</v>
      </c>
      <c r="B738" t="s">
        <v>679</v>
      </c>
      <c r="C738" t="s">
        <v>2793</v>
      </c>
      <c r="D738" t="s">
        <v>2794</v>
      </c>
      <c r="E738" t="s">
        <v>2795</v>
      </c>
      <c r="F738" t="s">
        <v>5</v>
      </c>
      <c r="G738" t="s">
        <v>12</v>
      </c>
      <c r="H738">
        <f>29891*(1.01^10)</f>
        <v>33018.259950666325</v>
      </c>
      <c r="I738">
        <f>184992*(1.01^10)</f>
        <v>204346.2562240696</v>
      </c>
      <c r="J738" t="s">
        <v>2796</v>
      </c>
      <c r="K738">
        <f t="shared" si="11"/>
        <v>1334.039090199049</v>
      </c>
    </row>
    <row r="739" spans="1:11" x14ac:dyDescent="0.2">
      <c r="A739" t="s">
        <v>2679</v>
      </c>
      <c r="B739" t="s">
        <v>759</v>
      </c>
      <c r="C739" t="s">
        <v>2797</v>
      </c>
      <c r="D739" t="s">
        <v>2798</v>
      </c>
      <c r="E739" t="s">
        <v>1328</v>
      </c>
      <c r="F739" t="s">
        <v>6</v>
      </c>
      <c r="G739" t="s">
        <v>318</v>
      </c>
      <c r="H739">
        <f>108624*(1.01^10)</f>
        <v>119988.4737506667</v>
      </c>
      <c r="I739">
        <f>637485*(1.01^10)</f>
        <v>704180.0356177619</v>
      </c>
      <c r="J739" t="s">
        <v>2799</v>
      </c>
      <c r="K739">
        <f t="shared" si="11"/>
        <v>2674.2889075278463</v>
      </c>
    </row>
    <row r="740" spans="1:11" x14ac:dyDescent="0.2">
      <c r="A740" t="s">
        <v>2679</v>
      </c>
      <c r="B740" t="s">
        <v>759</v>
      </c>
      <c r="C740" t="s">
        <v>2800</v>
      </c>
      <c r="D740" t="s">
        <v>2801</v>
      </c>
      <c r="E740" t="s">
        <v>777</v>
      </c>
      <c r="F740" t="s">
        <v>158</v>
      </c>
      <c r="G740" t="s">
        <v>6</v>
      </c>
      <c r="H740">
        <f>519804*(1.01^10)</f>
        <v>574186.99927724584</v>
      </c>
      <c r="I740">
        <f>2705849*(1.01^10)</f>
        <v>2988940.6734217829</v>
      </c>
      <c r="J740" t="s">
        <v>2802</v>
      </c>
      <c r="K740">
        <f t="shared" si="11"/>
        <v>6540.3515829798316</v>
      </c>
    </row>
    <row r="741" spans="1:11" x14ac:dyDescent="0.2">
      <c r="A741" t="s">
        <v>2679</v>
      </c>
      <c r="B741" t="s">
        <v>759</v>
      </c>
      <c r="C741" t="s">
        <v>2803</v>
      </c>
      <c r="D741" t="s">
        <v>2804</v>
      </c>
      <c r="E741" t="s">
        <v>740</v>
      </c>
      <c r="F741" t="s">
        <v>458</v>
      </c>
      <c r="G741" t="s">
        <v>11</v>
      </c>
      <c r="H741">
        <f>157560*(1.01^10)</f>
        <v>174044.26207978942</v>
      </c>
      <c r="I741">
        <f>953480*(1.01^10)</f>
        <v>1053235.1041370756</v>
      </c>
      <c r="J741" t="s">
        <v>2805</v>
      </c>
      <c r="K741">
        <f t="shared" si="11"/>
        <v>2788.4847319386004</v>
      </c>
    </row>
    <row r="742" spans="1:11" x14ac:dyDescent="0.2">
      <c r="A742" t="s">
        <v>2679</v>
      </c>
      <c r="B742" t="s">
        <v>759</v>
      </c>
      <c r="C742" t="s">
        <v>2806</v>
      </c>
      <c r="D742" t="s">
        <v>2807</v>
      </c>
      <c r="E742" t="s">
        <v>282</v>
      </c>
      <c r="F742" t="s">
        <v>405</v>
      </c>
      <c r="G742" t="s">
        <v>17</v>
      </c>
      <c r="H742">
        <f>64688*(1.01^10)</f>
        <v>71455.796048600008</v>
      </c>
      <c r="I742">
        <f>384831*(1.01^10)</f>
        <v>425092.83714411932</v>
      </c>
      <c r="J742" t="s">
        <v>2808</v>
      </c>
      <c r="K742">
        <f t="shared" si="11"/>
        <v>1565.6625188193261</v>
      </c>
    </row>
    <row r="743" spans="1:11" x14ac:dyDescent="0.2">
      <c r="A743" t="s">
        <v>2679</v>
      </c>
      <c r="B743" t="s">
        <v>784</v>
      </c>
      <c r="C743" t="s">
        <v>2809</v>
      </c>
      <c r="D743" t="s">
        <v>1691</v>
      </c>
      <c r="E743" t="s">
        <v>1944</v>
      </c>
      <c r="F743" t="s">
        <v>17</v>
      </c>
      <c r="G743" t="s">
        <v>158</v>
      </c>
      <c r="H743">
        <f>234537*(1.01^10)</f>
        <v>259074.75942756774</v>
      </c>
      <c r="I743">
        <f>1110093*(1.01^10)</f>
        <v>1226233.2890641005</v>
      </c>
      <c r="J743" t="s">
        <v>2810</v>
      </c>
      <c r="K743">
        <f t="shared" si="11"/>
        <v>2117.9543169899757</v>
      </c>
    </row>
    <row r="744" spans="1:11" x14ac:dyDescent="0.2">
      <c r="A744" t="s">
        <v>2679</v>
      </c>
      <c r="B744" t="s">
        <v>784</v>
      </c>
      <c r="C744" t="s">
        <v>2811</v>
      </c>
      <c r="D744" t="s">
        <v>2812</v>
      </c>
      <c r="E744" t="s">
        <v>503</v>
      </c>
      <c r="F744" t="s">
        <v>92</v>
      </c>
      <c r="G744" t="s">
        <v>5</v>
      </c>
      <c r="H744">
        <f>55578*(1.01^10)</f>
        <v>61392.688486103936</v>
      </c>
      <c r="I744">
        <f>316790*(1.01^10)</f>
        <v>349933.24310901557</v>
      </c>
      <c r="J744" t="s">
        <v>2813</v>
      </c>
      <c r="K744">
        <f t="shared" si="11"/>
        <v>1050.6170610707861</v>
      </c>
    </row>
    <row r="745" spans="1:11" x14ac:dyDescent="0.2">
      <c r="A745" t="s">
        <v>2679</v>
      </c>
      <c r="B745" t="s">
        <v>784</v>
      </c>
      <c r="C745" t="s">
        <v>2814</v>
      </c>
      <c r="D745" t="s">
        <v>2815</v>
      </c>
      <c r="E745" t="s">
        <v>1101</v>
      </c>
      <c r="F745" t="s">
        <v>744</v>
      </c>
      <c r="G745" t="s">
        <v>11</v>
      </c>
      <c r="H745">
        <f>36975*(1.01^10)</f>
        <v>40843.403087079292</v>
      </c>
      <c r="I745">
        <f>221232*(1.01^10)</f>
        <v>244377.76204897164</v>
      </c>
      <c r="J745" t="s">
        <v>2816</v>
      </c>
      <c r="K745">
        <f t="shared" si="11"/>
        <v>660.55117346745283</v>
      </c>
    </row>
    <row r="746" spans="1:11" x14ac:dyDescent="0.2">
      <c r="A746" t="s">
        <v>2679</v>
      </c>
      <c r="B746" t="s">
        <v>703</v>
      </c>
      <c r="C746" t="s">
        <v>2818</v>
      </c>
      <c r="D746" t="s">
        <v>2819</v>
      </c>
      <c r="E746" t="s">
        <v>1233</v>
      </c>
      <c r="F746" t="s">
        <v>5</v>
      </c>
      <c r="G746" t="s">
        <v>17</v>
      </c>
      <c r="H746">
        <f>64149*(1.01^10)</f>
        <v>70860.404723003376</v>
      </c>
      <c r="I746">
        <f>385099*(1.01^10)</f>
        <v>425388.87587372953</v>
      </c>
      <c r="J746" t="s">
        <v>2820</v>
      </c>
      <c r="K746">
        <f t="shared" si="11"/>
        <v>1095.4377012058869</v>
      </c>
    </row>
    <row r="747" spans="1:11" x14ac:dyDescent="0.2">
      <c r="A747" t="s">
        <v>2679</v>
      </c>
      <c r="B747" t="s">
        <v>703</v>
      </c>
      <c r="C747" t="s">
        <v>2821</v>
      </c>
      <c r="D747" t="s">
        <v>2822</v>
      </c>
      <c r="E747" t="s">
        <v>1288</v>
      </c>
      <c r="F747" t="s">
        <v>6</v>
      </c>
      <c r="G747" t="s">
        <v>5</v>
      </c>
      <c r="H747">
        <f>144302*(1.01^10)</f>
        <v>159399.18194108768</v>
      </c>
      <c r="I747">
        <f>867941*(1.01^10)</f>
        <v>958746.83215152647</v>
      </c>
      <c r="J747" t="s">
        <v>2823</v>
      </c>
      <c r="K747">
        <f t="shared" si="11"/>
        <v>1272.7766276897987</v>
      </c>
    </row>
    <row r="748" spans="1:11" x14ac:dyDescent="0.2">
      <c r="A748" t="s">
        <v>2679</v>
      </c>
      <c r="B748" t="s">
        <v>703</v>
      </c>
      <c r="C748" t="s">
        <v>2824</v>
      </c>
      <c r="D748" t="s">
        <v>2825</v>
      </c>
      <c r="E748" t="s">
        <v>1115</v>
      </c>
      <c r="F748" t="s">
        <v>318</v>
      </c>
      <c r="G748" t="s">
        <v>5</v>
      </c>
      <c r="H748">
        <f>85716*(1.01^10)</f>
        <v>94683.790101746825</v>
      </c>
      <c r="I748">
        <f>510190*(1.01^10)</f>
        <v>563567.16216354258</v>
      </c>
      <c r="J748" t="s">
        <v>2826</v>
      </c>
      <c r="K748">
        <f t="shared" si="11"/>
        <v>644.97564463872743</v>
      </c>
    </row>
    <row r="749" spans="1:11" x14ac:dyDescent="0.2">
      <c r="A749" t="s">
        <v>2679</v>
      </c>
      <c r="B749" t="s">
        <v>703</v>
      </c>
      <c r="C749" t="s">
        <v>2828</v>
      </c>
      <c r="D749" t="s">
        <v>2829</v>
      </c>
      <c r="E749" t="s">
        <v>1010</v>
      </c>
      <c r="F749" t="s">
        <v>318</v>
      </c>
      <c r="G749" t="s">
        <v>17</v>
      </c>
      <c r="H749">
        <f>58068*(1.01^10)</f>
        <v>64143.19757837784</v>
      </c>
      <c r="I749">
        <f>348325*(1.01^10)</f>
        <v>384767.50183385791</v>
      </c>
      <c r="J749" t="s">
        <v>2830</v>
      </c>
      <c r="K749">
        <f t="shared" si="11"/>
        <v>899.00235369964673</v>
      </c>
    </row>
    <row r="750" spans="1:11" x14ac:dyDescent="0.2">
      <c r="A750" t="s">
        <v>2679</v>
      </c>
      <c r="B750" t="s">
        <v>703</v>
      </c>
      <c r="C750" t="s">
        <v>2831</v>
      </c>
      <c r="D750" t="s">
        <v>2832</v>
      </c>
      <c r="E750" t="s">
        <v>568</v>
      </c>
      <c r="F750" t="s">
        <v>274</v>
      </c>
      <c r="G750" t="s">
        <v>17</v>
      </c>
      <c r="H750">
        <f>73357*(1.01^10)</f>
        <v>81031.765253789752</v>
      </c>
      <c r="I750">
        <f>433395*(1.01^10)</f>
        <v>478737.7060425891</v>
      </c>
      <c r="J750" t="s">
        <v>2833</v>
      </c>
      <c r="K750">
        <f t="shared" si="11"/>
        <v>702.55369860277585</v>
      </c>
    </row>
    <row r="751" spans="1:11" x14ac:dyDescent="0.2">
      <c r="A751" t="s">
        <v>2679</v>
      </c>
      <c r="B751" t="s">
        <v>703</v>
      </c>
      <c r="C751" t="s">
        <v>2835</v>
      </c>
      <c r="D751" t="s">
        <v>2836</v>
      </c>
      <c r="E751" t="s">
        <v>407</v>
      </c>
      <c r="F751" t="s">
        <v>744</v>
      </c>
      <c r="G751" t="s">
        <v>11</v>
      </c>
      <c r="H751">
        <f>73259*(1.01^10)</f>
        <v>80923.512285499455</v>
      </c>
      <c r="I751">
        <f>435158*(1.01^10)</f>
        <v>480685.15484968905</v>
      </c>
      <c r="J751" t="s">
        <v>2837</v>
      </c>
      <c r="K751">
        <f t="shared" si="11"/>
        <v>683.70438259391904</v>
      </c>
    </row>
    <row r="752" spans="1:11" x14ac:dyDescent="0.2">
      <c r="A752" t="s">
        <v>2679</v>
      </c>
      <c r="B752" t="s">
        <v>703</v>
      </c>
      <c r="C752" t="s">
        <v>2839</v>
      </c>
      <c r="D752" t="s">
        <v>2840</v>
      </c>
      <c r="E752" t="s">
        <v>1430</v>
      </c>
      <c r="F752" t="s">
        <v>92</v>
      </c>
      <c r="G752" t="s">
        <v>5</v>
      </c>
      <c r="H752">
        <f>88678*(1.01^10)</f>
        <v>97955.680837214808</v>
      </c>
      <c r="I752">
        <f>519063*(1.01^10)</f>
        <v>573368.47428231617</v>
      </c>
      <c r="J752" t="s">
        <v>2841</v>
      </c>
      <c r="K752">
        <f t="shared" si="11"/>
        <v>838.10144155457033</v>
      </c>
    </row>
    <row r="753" spans="1:11" x14ac:dyDescent="0.2">
      <c r="A753" t="s">
        <v>2679</v>
      </c>
      <c r="B753" t="s">
        <v>320</v>
      </c>
      <c r="C753" t="s">
        <v>2842</v>
      </c>
      <c r="D753" t="s">
        <v>2843</v>
      </c>
      <c r="E753" t="s">
        <v>705</v>
      </c>
      <c r="F753" t="s">
        <v>92</v>
      </c>
      <c r="G753" t="s">
        <v>17</v>
      </c>
      <c r="H753">
        <f>70673*(1.01^10)</f>
        <v>78066.959469186069</v>
      </c>
      <c r="I753">
        <f>427226*(1.01^10)</f>
        <v>471923.29215092736</v>
      </c>
      <c r="J753" t="s">
        <v>2844</v>
      </c>
      <c r="K753">
        <f t="shared" si="11"/>
        <v>685.63061096322929</v>
      </c>
    </row>
    <row r="754" spans="1:11" x14ac:dyDescent="0.2">
      <c r="A754" t="s">
        <v>2679</v>
      </c>
      <c r="B754" t="s">
        <v>320</v>
      </c>
      <c r="C754" t="s">
        <v>2846</v>
      </c>
      <c r="D754" t="s">
        <v>2847</v>
      </c>
      <c r="E754" t="s">
        <v>467</v>
      </c>
      <c r="F754" t="s">
        <v>12</v>
      </c>
      <c r="G754" t="s">
        <v>12</v>
      </c>
      <c r="H754">
        <f>50966*(1.01^10)</f>
        <v>56298.17124370746</v>
      </c>
      <c r="I754">
        <f>308802*(1.01^10)</f>
        <v>341109.52157123084</v>
      </c>
      <c r="J754" t="s">
        <v>2848</v>
      </c>
      <c r="K754">
        <f t="shared" si="11"/>
        <v>721.9249133782663</v>
      </c>
    </row>
    <row r="755" spans="1:11" x14ac:dyDescent="0.2">
      <c r="A755" t="s">
        <v>2679</v>
      </c>
      <c r="B755" t="s">
        <v>320</v>
      </c>
      <c r="C755" t="s">
        <v>2850</v>
      </c>
      <c r="D755" t="s">
        <v>2851</v>
      </c>
      <c r="E755" t="s">
        <v>401</v>
      </c>
      <c r="F755" t="s">
        <v>458</v>
      </c>
      <c r="G755" t="s">
        <v>11</v>
      </c>
      <c r="H755">
        <f>120225*(1.01^10)</f>
        <v>132803.19502756209</v>
      </c>
      <c r="I755">
        <f>737767*(1.01^10)</f>
        <v>814953.75159824826</v>
      </c>
      <c r="J755" t="s">
        <v>2852</v>
      </c>
      <c r="K755">
        <f t="shared" si="11"/>
        <v>902.62579507376279</v>
      </c>
    </row>
    <row r="756" spans="1:11" x14ac:dyDescent="0.2">
      <c r="A756" t="s">
        <v>2679</v>
      </c>
      <c r="B756" t="s">
        <v>320</v>
      </c>
      <c r="C756" t="s">
        <v>2853</v>
      </c>
      <c r="D756" t="s">
        <v>2854</v>
      </c>
      <c r="E756" t="s">
        <v>685</v>
      </c>
      <c r="F756" t="s">
        <v>405</v>
      </c>
      <c r="G756" t="s">
        <v>44</v>
      </c>
      <c r="H756">
        <f>305209*(1.01^10)</f>
        <v>337140.6142746284</v>
      </c>
      <c r="I756">
        <f>1810181*(1.01^10)</f>
        <v>1999565.9835989801</v>
      </c>
      <c r="J756" t="s">
        <v>2855</v>
      </c>
      <c r="K756">
        <f t="shared" si="11"/>
        <v>1911.2985014825917</v>
      </c>
    </row>
    <row r="757" spans="1:11" x14ac:dyDescent="0.2">
      <c r="A757" t="s">
        <v>2679</v>
      </c>
      <c r="B757" t="s">
        <v>320</v>
      </c>
      <c r="C757" t="s">
        <v>2856</v>
      </c>
      <c r="D757" t="s">
        <v>2857</v>
      </c>
      <c r="E757" t="s">
        <v>1430</v>
      </c>
      <c r="F757" t="s">
        <v>24</v>
      </c>
      <c r="G757" t="s">
        <v>17</v>
      </c>
      <c r="H757">
        <f>64298*(1.01^10)</f>
        <v>71024.993419689636</v>
      </c>
      <c r="I757">
        <f>389913*(1.01^10)</f>
        <v>430706.52678545908</v>
      </c>
      <c r="J757" t="s">
        <v>2858</v>
      </c>
      <c r="K757">
        <f t="shared" si="11"/>
        <v>797.39224754241786</v>
      </c>
    </row>
    <row r="758" spans="1:11" x14ac:dyDescent="0.2">
      <c r="A758" t="s">
        <v>2679</v>
      </c>
      <c r="B758" t="s">
        <v>2162</v>
      </c>
      <c r="C758" t="s">
        <v>2859</v>
      </c>
      <c r="D758" t="s">
        <v>2860</v>
      </c>
      <c r="E758" t="s">
        <v>1960</v>
      </c>
      <c r="F758" t="s">
        <v>24</v>
      </c>
      <c r="G758" t="s">
        <v>12</v>
      </c>
      <c r="H758">
        <f>37760*(1.01^10)</f>
        <v>41710.531455527089</v>
      </c>
      <c r="I758">
        <f>224282*(1.01^10)</f>
        <v>247746.85953147581</v>
      </c>
      <c r="J758" t="s">
        <v>2861</v>
      </c>
      <c r="K758">
        <f t="shared" si="11"/>
        <v>879.35446625257714</v>
      </c>
    </row>
    <row r="759" spans="1:11" x14ac:dyDescent="0.2">
      <c r="A759" t="s">
        <v>2679</v>
      </c>
      <c r="B759" t="s">
        <v>2162</v>
      </c>
      <c r="C759" t="s">
        <v>2862</v>
      </c>
      <c r="D759" t="s">
        <v>2863</v>
      </c>
      <c r="E759" t="s">
        <v>833</v>
      </c>
      <c r="F759" t="s">
        <v>5</v>
      </c>
      <c r="G759" t="s">
        <v>11</v>
      </c>
      <c r="H759">
        <f>67950*(1.01^10)</f>
        <v>75059.07342169137</v>
      </c>
      <c r="I759">
        <f>404567*(1.01^10)</f>
        <v>446893.6594112349</v>
      </c>
      <c r="J759" t="s">
        <v>2864</v>
      </c>
      <c r="K759">
        <f t="shared" si="11"/>
        <v>763.95620342100028</v>
      </c>
    </row>
    <row r="760" spans="1:11" x14ac:dyDescent="0.2">
      <c r="A760" t="s">
        <v>2679</v>
      </c>
      <c r="B760" t="s">
        <v>2162</v>
      </c>
      <c r="C760" t="s">
        <v>2865</v>
      </c>
      <c r="D760" t="s">
        <v>2866</v>
      </c>
      <c r="E760" t="s">
        <v>1298</v>
      </c>
      <c r="F760" t="s">
        <v>405</v>
      </c>
      <c r="G760" t="s">
        <v>158</v>
      </c>
      <c r="H760">
        <f>93147*(1.01^10)</f>
        <v>102892.23711567749</v>
      </c>
      <c r="I760">
        <f>551540*(1.01^10)</f>
        <v>609243.28704929585</v>
      </c>
      <c r="J760" t="s">
        <v>2867</v>
      </c>
      <c r="K760">
        <f t="shared" si="11"/>
        <v>1238.905544329908</v>
      </c>
    </row>
    <row r="761" spans="1:11" x14ac:dyDescent="0.2">
      <c r="A761" t="s">
        <v>2679</v>
      </c>
      <c r="B761" t="s">
        <v>2162</v>
      </c>
      <c r="C761" t="s">
        <v>2868</v>
      </c>
      <c r="D761" t="s">
        <v>2869</v>
      </c>
      <c r="E761" t="s">
        <v>58</v>
      </c>
      <c r="F761" t="s">
        <v>24</v>
      </c>
      <c r="G761" t="s">
        <v>17</v>
      </c>
      <c r="H761">
        <f>62003*(1.01^10)</f>
        <v>68489.885641870933</v>
      </c>
      <c r="I761">
        <f>384319*(1.01^10)</f>
        <v>424527.27061590878</v>
      </c>
      <c r="J761" t="s">
        <v>2870</v>
      </c>
      <c r="K761">
        <f t="shared" si="11"/>
        <v>881.61410583944144</v>
      </c>
    </row>
    <row r="762" spans="1:11" x14ac:dyDescent="0.2">
      <c r="A762" t="s">
        <v>2679</v>
      </c>
      <c r="B762" t="s">
        <v>1352</v>
      </c>
      <c r="C762" t="s">
        <v>2871</v>
      </c>
      <c r="D762" t="s">
        <v>2872</v>
      </c>
      <c r="E762" t="s">
        <v>2873</v>
      </c>
      <c r="F762" t="s">
        <v>829</v>
      </c>
      <c r="G762" t="s">
        <v>92</v>
      </c>
      <c r="H762">
        <f>91096*(1.01^10)</f>
        <v>100626.65713645911</v>
      </c>
      <c r="I762">
        <f>569021*(1.01^10)</f>
        <v>628553.18642360915</v>
      </c>
      <c r="J762" t="s">
        <v>2874</v>
      </c>
      <c r="K762">
        <f t="shared" si="11"/>
        <v>594.9035935353802</v>
      </c>
    </row>
    <row r="763" spans="1:11" x14ac:dyDescent="0.2">
      <c r="A763" t="s">
        <v>2679</v>
      </c>
      <c r="B763" t="s">
        <v>1352</v>
      </c>
      <c r="C763" t="s">
        <v>2876</v>
      </c>
      <c r="D763" t="s">
        <v>2877</v>
      </c>
      <c r="E763" t="s">
        <v>798</v>
      </c>
      <c r="F763" t="s">
        <v>232</v>
      </c>
      <c r="G763" t="s">
        <v>12</v>
      </c>
      <c r="H763">
        <f>72571*(1.01^10)</f>
        <v>80163.532263216533</v>
      </c>
      <c r="I763">
        <f>439127*(1.01^10)</f>
        <v>485069.4000654461</v>
      </c>
      <c r="J763" t="s">
        <v>2878</v>
      </c>
      <c r="K763">
        <f t="shared" si="11"/>
        <v>663.95800763835427</v>
      </c>
    </row>
    <row r="764" spans="1:11" x14ac:dyDescent="0.2">
      <c r="A764" t="s">
        <v>2679</v>
      </c>
      <c r="B764" t="s">
        <v>1352</v>
      </c>
      <c r="C764" t="s">
        <v>2879</v>
      </c>
      <c r="D764" t="s">
        <v>2880</v>
      </c>
      <c r="E764" t="s">
        <v>1446</v>
      </c>
      <c r="F764" t="s">
        <v>318</v>
      </c>
      <c r="G764" t="s">
        <v>92</v>
      </c>
      <c r="H764">
        <f>57196*(1.01^10)</f>
        <v>63179.967085019263</v>
      </c>
      <c r="I764">
        <f>351792*(1.01^10)</f>
        <v>388597.22674265853</v>
      </c>
      <c r="J764" t="s">
        <v>2881</v>
      </c>
      <c r="K764">
        <f t="shared" si="11"/>
        <v>817.8072198713287</v>
      </c>
    </row>
    <row r="765" spans="1:11" x14ac:dyDescent="0.2">
      <c r="A765" t="s">
        <v>2679</v>
      </c>
      <c r="B765" t="s">
        <v>1352</v>
      </c>
      <c r="C765" t="s">
        <v>2882</v>
      </c>
      <c r="D765" t="s">
        <v>2883</v>
      </c>
      <c r="E765" t="s">
        <v>493</v>
      </c>
      <c r="F765" t="s">
        <v>726</v>
      </c>
      <c r="G765" t="s">
        <v>318</v>
      </c>
      <c r="H765">
        <f>202262*(1.01^10)</f>
        <v>223423.0803299211</v>
      </c>
      <c r="I765">
        <f>1187244*(1.01^10)</f>
        <v>1311455.9906617003</v>
      </c>
      <c r="J765" t="s">
        <v>2884</v>
      </c>
      <c r="K765">
        <f t="shared" si="11"/>
        <v>1216.9094855295368</v>
      </c>
    </row>
    <row r="766" spans="1:11" x14ac:dyDescent="0.2">
      <c r="A766" t="s">
        <v>2679</v>
      </c>
      <c r="B766" t="s">
        <v>568</v>
      </c>
      <c r="C766" t="s">
        <v>2885</v>
      </c>
      <c r="D766" t="s">
        <v>2886</v>
      </c>
      <c r="E766" t="s">
        <v>1002</v>
      </c>
      <c r="F766" t="s">
        <v>92</v>
      </c>
      <c r="G766" t="s">
        <v>17</v>
      </c>
      <c r="H766">
        <f>59287*(1.01^10)</f>
        <v>65489.731949254099</v>
      </c>
      <c r="I766">
        <f>367441*(1.01^10)</f>
        <v>405883.4583832185</v>
      </c>
      <c r="J766" t="s">
        <v>2887</v>
      </c>
      <c r="K766">
        <f t="shared" si="11"/>
        <v>863.79862345175377</v>
      </c>
    </row>
    <row r="767" spans="1:11" x14ac:dyDescent="0.2">
      <c r="A767" t="s">
        <v>2679</v>
      </c>
      <c r="B767" t="s">
        <v>568</v>
      </c>
      <c r="C767" t="s">
        <v>2888</v>
      </c>
      <c r="D767" t="s">
        <v>2889</v>
      </c>
      <c r="E767" t="s">
        <v>1002</v>
      </c>
      <c r="F767" t="s">
        <v>108</v>
      </c>
      <c r="G767" t="s">
        <v>274</v>
      </c>
      <c r="H767">
        <f>364604*(1.01^10)</f>
        <v>402749.64541342692</v>
      </c>
      <c r="I767">
        <f>2186655*(1.01^10)</f>
        <v>2415427.493641038</v>
      </c>
      <c r="J767" t="s">
        <v>2890</v>
      </c>
      <c r="K767">
        <f t="shared" si="11"/>
        <v>4451.5062552925283</v>
      </c>
    </row>
    <row r="768" spans="1:11" x14ac:dyDescent="0.2">
      <c r="A768" t="s">
        <v>2679</v>
      </c>
      <c r="B768" t="s">
        <v>568</v>
      </c>
      <c r="C768" t="s">
        <v>2891</v>
      </c>
      <c r="D768" t="s">
        <v>2892</v>
      </c>
      <c r="E768" t="s">
        <v>1401</v>
      </c>
      <c r="F768" t="s">
        <v>92</v>
      </c>
      <c r="G768" t="s">
        <v>5</v>
      </c>
      <c r="H768">
        <f>78901*(1.01^10)</f>
        <v>87155.790317069463</v>
      </c>
      <c r="I768">
        <f>506777*(1.01^10)</f>
        <v>559797.08684951416</v>
      </c>
      <c r="J768" t="s">
        <v>2893</v>
      </c>
      <c r="K768">
        <f t="shared" si="11"/>
        <v>777.88953814828062</v>
      </c>
    </row>
    <row r="769" spans="1:11" x14ac:dyDescent="0.2">
      <c r="A769" t="s">
        <v>2679</v>
      </c>
      <c r="B769" t="s">
        <v>568</v>
      </c>
      <c r="C769" t="s">
        <v>2894</v>
      </c>
      <c r="D769" t="s">
        <v>2895</v>
      </c>
      <c r="E769" t="s">
        <v>328</v>
      </c>
      <c r="F769" t="s">
        <v>92</v>
      </c>
      <c r="G769" t="s">
        <v>17</v>
      </c>
      <c r="H769">
        <f>69272*(1.01^10)</f>
        <v>76519.38387148497</v>
      </c>
      <c r="I769">
        <f>466809*(1.01^10)</f>
        <v>515647.5497410791</v>
      </c>
      <c r="J769" t="s">
        <v>2896</v>
      </c>
      <c r="K769">
        <f t="shared" si="11"/>
        <v>643.95325320334302</v>
      </c>
    </row>
    <row r="770" spans="1:11" x14ac:dyDescent="0.2">
      <c r="A770" t="s">
        <v>2679</v>
      </c>
      <c r="B770" t="s">
        <v>568</v>
      </c>
      <c r="C770" t="s">
        <v>2897</v>
      </c>
      <c r="D770" t="s">
        <v>1639</v>
      </c>
      <c r="E770" t="s">
        <v>151</v>
      </c>
      <c r="F770" t="s">
        <v>11</v>
      </c>
      <c r="G770" t="s">
        <v>17</v>
      </c>
      <c r="H770">
        <f>69586*(1.01^10)</f>
        <v>76866.235218864094</v>
      </c>
      <c r="I770">
        <f>460592*(1.01^10)</f>
        <v>508780.11398739764</v>
      </c>
      <c r="J770" t="s">
        <v>2898</v>
      </c>
      <c r="K770">
        <f t="shared" si="11"/>
        <v>816.22550618118805</v>
      </c>
    </row>
    <row r="771" spans="1:11" x14ac:dyDescent="0.2">
      <c r="A771" t="s">
        <v>2679</v>
      </c>
      <c r="B771" t="s">
        <v>568</v>
      </c>
      <c r="C771" t="s">
        <v>2900</v>
      </c>
      <c r="D771" t="s">
        <v>2901</v>
      </c>
      <c r="E771" t="s">
        <v>305</v>
      </c>
      <c r="F771" t="s">
        <v>6</v>
      </c>
      <c r="G771" t="s">
        <v>17</v>
      </c>
      <c r="H771">
        <f>68916*(1.01^10)</f>
        <v>76126.138394838592</v>
      </c>
      <c r="I771">
        <f>430523*(1.01^10)</f>
        <v>475565.23129840812</v>
      </c>
      <c r="J771" t="s">
        <v>2902</v>
      </c>
      <c r="K771">
        <f t="shared" ref="K771:K834" si="12">I771/J771</f>
        <v>537.49473647765001</v>
      </c>
    </row>
    <row r="772" spans="1:11" x14ac:dyDescent="0.2">
      <c r="A772" t="s">
        <v>2679</v>
      </c>
      <c r="B772" t="s">
        <v>1282</v>
      </c>
      <c r="C772" t="s">
        <v>2904</v>
      </c>
      <c r="D772" t="s">
        <v>2905</v>
      </c>
      <c r="E772" t="s">
        <v>36</v>
      </c>
      <c r="F772" t="s">
        <v>11</v>
      </c>
      <c r="G772" t="s">
        <v>11</v>
      </c>
      <c r="H772">
        <f>58949*(1.01^10)</f>
        <v>65116.369670865111</v>
      </c>
      <c r="I772">
        <f>361489*(1.01^10)</f>
        <v>399308.74749277101</v>
      </c>
      <c r="J772" t="s">
        <v>2906</v>
      </c>
      <c r="K772">
        <f t="shared" si="12"/>
        <v>1035.0516497720075</v>
      </c>
    </row>
    <row r="773" spans="1:11" x14ac:dyDescent="0.2">
      <c r="A773" t="s">
        <v>2679</v>
      </c>
      <c r="B773" t="s">
        <v>1282</v>
      </c>
      <c r="C773" t="s">
        <v>2907</v>
      </c>
      <c r="D773" t="s">
        <v>2908</v>
      </c>
      <c r="E773" t="s">
        <v>1446</v>
      </c>
      <c r="F773" t="s">
        <v>11</v>
      </c>
      <c r="G773" t="s">
        <v>12</v>
      </c>
      <c r="H773">
        <f>157923*(1.01^10)</f>
        <v>174445.23991131369</v>
      </c>
      <c r="I773">
        <f>956082*(1.01^10)</f>
        <v>1056109.3309073953</v>
      </c>
      <c r="J773" t="s">
        <v>2909</v>
      </c>
      <c r="K773">
        <f t="shared" si="12"/>
        <v>2342.4100874732794</v>
      </c>
    </row>
    <row r="774" spans="1:11" x14ac:dyDescent="0.2">
      <c r="A774" t="s">
        <v>2679</v>
      </c>
      <c r="B774" t="s">
        <v>1282</v>
      </c>
      <c r="C774" t="s">
        <v>2910</v>
      </c>
      <c r="D774" t="s">
        <v>2911</v>
      </c>
      <c r="E774" t="s">
        <v>754</v>
      </c>
      <c r="F774" t="s">
        <v>158</v>
      </c>
      <c r="G774" t="s">
        <v>17</v>
      </c>
      <c r="H774">
        <f>83487*(1.01^10)</f>
        <v>92221.587384205253</v>
      </c>
      <c r="I774">
        <f>505935*(1.01^10)</f>
        <v>558866.99501991784</v>
      </c>
      <c r="J774" t="s">
        <v>2912</v>
      </c>
      <c r="K774">
        <f t="shared" si="12"/>
        <v>681.34407922388743</v>
      </c>
    </row>
    <row r="775" spans="1:11" x14ac:dyDescent="0.2">
      <c r="A775" t="s">
        <v>2679</v>
      </c>
      <c r="B775" t="s">
        <v>1282</v>
      </c>
      <c r="C775" t="s">
        <v>2913</v>
      </c>
      <c r="D775" t="s">
        <v>2914</v>
      </c>
      <c r="E775" t="s">
        <v>2915</v>
      </c>
      <c r="F775" t="s">
        <v>92</v>
      </c>
      <c r="G775" t="s">
        <v>11</v>
      </c>
      <c r="H775">
        <f>113907*(1.01^10)</f>
        <v>125824.19243921409</v>
      </c>
      <c r="I775">
        <f>674650*(1.01^10)</f>
        <v>745233.31690866931</v>
      </c>
      <c r="J775" t="s">
        <v>2916</v>
      </c>
      <c r="K775">
        <f t="shared" si="12"/>
        <v>993.49839742447648</v>
      </c>
    </row>
    <row r="776" spans="1:11" x14ac:dyDescent="0.2">
      <c r="A776" t="s">
        <v>2679</v>
      </c>
      <c r="B776" t="s">
        <v>1446</v>
      </c>
      <c r="C776" t="s">
        <v>2917</v>
      </c>
      <c r="D776" t="s">
        <v>2918</v>
      </c>
      <c r="E776" t="s">
        <v>1646</v>
      </c>
      <c r="F776" t="s">
        <v>744</v>
      </c>
      <c r="G776" t="s">
        <v>5</v>
      </c>
      <c r="H776">
        <f>121502*(1.01^10)</f>
        <v>134213.79748171219</v>
      </c>
      <c r="I776">
        <f>724487*(1.01^10)</f>
        <v>800284.36977278744</v>
      </c>
      <c r="J776" t="s">
        <v>2919</v>
      </c>
      <c r="K776">
        <f t="shared" si="12"/>
        <v>788.40477105505408</v>
      </c>
    </row>
    <row r="777" spans="1:11" x14ac:dyDescent="0.2">
      <c r="A777" t="s">
        <v>2679</v>
      </c>
      <c r="B777" t="s">
        <v>1446</v>
      </c>
      <c r="C777" t="s">
        <v>2920</v>
      </c>
      <c r="D777" t="s">
        <v>2921</v>
      </c>
      <c r="E777" t="s">
        <v>128</v>
      </c>
      <c r="F777" t="s">
        <v>12</v>
      </c>
      <c r="G777" t="s">
        <v>12</v>
      </c>
      <c r="H777">
        <f>56864*(1.01^10)</f>
        <v>62813.232539382749</v>
      </c>
      <c r="I777">
        <f>331718*(1.01^10)</f>
        <v>366423.04219715402</v>
      </c>
      <c r="J777" t="s">
        <v>2922</v>
      </c>
      <c r="K777">
        <f t="shared" si="12"/>
        <v>663.9104299338062</v>
      </c>
    </row>
    <row r="778" spans="1:11" x14ac:dyDescent="0.2">
      <c r="A778" t="s">
        <v>2679</v>
      </c>
      <c r="B778" t="s">
        <v>1446</v>
      </c>
      <c r="C778" t="s">
        <v>2923</v>
      </c>
      <c r="D778" t="s">
        <v>2924</v>
      </c>
      <c r="E778" t="s">
        <v>1494</v>
      </c>
      <c r="F778" t="s">
        <v>1340</v>
      </c>
      <c r="G778" t="s">
        <v>5</v>
      </c>
      <c r="H778">
        <f>135324*(1.01^10)</f>
        <v>149481.88449914588</v>
      </c>
      <c r="I778">
        <f>812324*(1.01^10)</f>
        <v>897311.06340253144</v>
      </c>
      <c r="J778" t="s">
        <v>2925</v>
      </c>
      <c r="K778">
        <f t="shared" si="12"/>
        <v>752.14340624502415</v>
      </c>
    </row>
    <row r="779" spans="1:11" x14ac:dyDescent="0.2">
      <c r="A779" t="s">
        <v>2679</v>
      </c>
      <c r="B779" t="s">
        <v>328</v>
      </c>
      <c r="C779" t="s">
        <v>2926</v>
      </c>
      <c r="D779" t="s">
        <v>2927</v>
      </c>
      <c r="E779" t="s">
        <v>2928</v>
      </c>
      <c r="F779" t="s">
        <v>1589</v>
      </c>
      <c r="G779" t="s">
        <v>11</v>
      </c>
      <c r="H779">
        <f>91036*(1.01^10)</f>
        <v>100560.37980893443</v>
      </c>
      <c r="I779">
        <f>554275*(1.01^10)</f>
        <v>612264.42856229551</v>
      </c>
      <c r="J779" t="s">
        <v>2929</v>
      </c>
      <c r="K779">
        <f t="shared" si="12"/>
        <v>675.96062894268346</v>
      </c>
    </row>
    <row r="780" spans="1:11" x14ac:dyDescent="0.2">
      <c r="A780" t="s">
        <v>2679</v>
      </c>
      <c r="B780" t="s">
        <v>328</v>
      </c>
      <c r="C780" t="s">
        <v>2930</v>
      </c>
      <c r="D780" t="s">
        <v>2931</v>
      </c>
      <c r="E780" t="s">
        <v>2328</v>
      </c>
      <c r="F780" t="s">
        <v>56</v>
      </c>
      <c r="G780" t="s">
        <v>158</v>
      </c>
      <c r="H780">
        <f>104929*(1.01^10)</f>
        <v>115906.89499727231</v>
      </c>
      <c r="I780">
        <f>642762*(1.01^10)</f>
        <v>710009.1265735568</v>
      </c>
      <c r="J780" t="s">
        <v>2932</v>
      </c>
      <c r="K780">
        <f t="shared" si="12"/>
        <v>761.48141205521483</v>
      </c>
    </row>
    <row r="781" spans="1:11" x14ac:dyDescent="0.2">
      <c r="A781" t="s">
        <v>2679</v>
      </c>
      <c r="B781" t="s">
        <v>328</v>
      </c>
      <c r="C781" t="s">
        <v>2933</v>
      </c>
      <c r="D781" t="s">
        <v>2934</v>
      </c>
      <c r="E781" t="s">
        <v>798</v>
      </c>
      <c r="F781" t="s">
        <v>5</v>
      </c>
      <c r="G781" t="s">
        <v>17</v>
      </c>
      <c r="H781">
        <f>67758*(1.01^10)</f>
        <v>74846.985973612405</v>
      </c>
      <c r="I781">
        <f>404198*(1.01^10)</f>
        <v>446486.05384695815</v>
      </c>
      <c r="J781" t="s">
        <v>2935</v>
      </c>
      <c r="K781">
        <f t="shared" si="12"/>
        <v>1237.7209496117682</v>
      </c>
    </row>
    <row r="782" spans="1:11" x14ac:dyDescent="0.2">
      <c r="A782" t="s">
        <v>2679</v>
      </c>
      <c r="B782" t="s">
        <v>328</v>
      </c>
      <c r="C782" t="s">
        <v>2937</v>
      </c>
      <c r="D782" t="s">
        <v>2938</v>
      </c>
      <c r="E782" t="s">
        <v>722</v>
      </c>
      <c r="F782" t="s">
        <v>829</v>
      </c>
      <c r="G782" t="s">
        <v>12</v>
      </c>
      <c r="H782">
        <f>66185*(1.01^10)</f>
        <v>73109.41537034059</v>
      </c>
      <c r="I782">
        <f>389829*(1.01^10)</f>
        <v>430613.73852692451</v>
      </c>
      <c r="J782" t="s">
        <v>2939</v>
      </c>
      <c r="K782">
        <f t="shared" si="12"/>
        <v>596.45763983228687</v>
      </c>
    </row>
    <row r="783" spans="1:11" x14ac:dyDescent="0.2">
      <c r="A783" t="s">
        <v>2679</v>
      </c>
      <c r="B783" t="s">
        <v>328</v>
      </c>
      <c r="C783" t="s">
        <v>2940</v>
      </c>
      <c r="D783" t="s">
        <v>2941</v>
      </c>
      <c r="E783" t="s">
        <v>2942</v>
      </c>
      <c r="F783" t="s">
        <v>1656</v>
      </c>
      <c r="G783" t="s">
        <v>158</v>
      </c>
      <c r="H783">
        <f>168754*(1.01^10)</f>
        <v>186409.40215164245</v>
      </c>
      <c r="I783">
        <f>1002911*(1.01^10)</f>
        <v>1107837.6804182767</v>
      </c>
      <c r="J783" t="s">
        <v>2943</v>
      </c>
      <c r="K783">
        <f t="shared" si="12"/>
        <v>953.84755779224986</v>
      </c>
    </row>
    <row r="784" spans="1:11" x14ac:dyDescent="0.2">
      <c r="A784" t="s">
        <v>2679</v>
      </c>
      <c r="B784" t="s">
        <v>328</v>
      </c>
      <c r="C784" t="s">
        <v>2945</v>
      </c>
      <c r="D784" t="s">
        <v>2946</v>
      </c>
      <c r="E784" t="s">
        <v>2947</v>
      </c>
      <c r="F784" t="s">
        <v>1223</v>
      </c>
      <c r="G784" t="s">
        <v>92</v>
      </c>
      <c r="H784">
        <f>117114*(1.01^10)</f>
        <v>129366.71559540783</v>
      </c>
      <c r="I784">
        <f>687921*(1.01^10)</f>
        <v>759892.75713500136</v>
      </c>
      <c r="J784" t="s">
        <v>2948</v>
      </c>
      <c r="K784">
        <f t="shared" si="12"/>
        <v>699.91693789002625</v>
      </c>
    </row>
    <row r="785" spans="1:11" x14ac:dyDescent="0.2">
      <c r="A785" t="s">
        <v>2679</v>
      </c>
      <c r="B785" t="s">
        <v>2949</v>
      </c>
      <c r="C785" t="s">
        <v>2950</v>
      </c>
      <c r="D785" t="s">
        <v>2951</v>
      </c>
      <c r="E785" t="s">
        <v>1029</v>
      </c>
      <c r="F785" t="s">
        <v>744</v>
      </c>
      <c r="G785" t="s">
        <v>92</v>
      </c>
      <c r="H785">
        <f>110432*(1.01^10)</f>
        <v>121985.63055341016</v>
      </c>
      <c r="I785">
        <f>674598*(1.01^10)</f>
        <v>745175.87655814795</v>
      </c>
      <c r="J785" t="s">
        <v>2952</v>
      </c>
      <c r="K785">
        <f t="shared" si="12"/>
        <v>887.29261626008076</v>
      </c>
    </row>
    <row r="786" spans="1:11" x14ac:dyDescent="0.2">
      <c r="A786" t="s">
        <v>2679</v>
      </c>
      <c r="B786" t="s">
        <v>2949</v>
      </c>
      <c r="C786" t="s">
        <v>2954</v>
      </c>
      <c r="D786" t="s">
        <v>2955</v>
      </c>
      <c r="E786" t="s">
        <v>725</v>
      </c>
      <c r="F786" t="s">
        <v>313</v>
      </c>
      <c r="G786" t="s">
        <v>5</v>
      </c>
      <c r="H786">
        <f>81556*(1.01^10)</f>
        <v>90088.562060036216</v>
      </c>
      <c r="I786">
        <f>491330*(1.01^10)</f>
        <v>542733.98887828726</v>
      </c>
      <c r="J786" t="s">
        <v>2956</v>
      </c>
      <c r="K786">
        <f t="shared" si="12"/>
        <v>1033.8648892335882</v>
      </c>
    </row>
    <row r="787" spans="1:11" x14ac:dyDescent="0.2">
      <c r="A787" t="s">
        <v>2679</v>
      </c>
      <c r="B787" t="s">
        <v>2949</v>
      </c>
      <c r="C787" t="s">
        <v>2957</v>
      </c>
      <c r="D787" t="s">
        <v>2958</v>
      </c>
      <c r="E787" t="s">
        <v>2959</v>
      </c>
      <c r="F787" t="s">
        <v>47</v>
      </c>
      <c r="G787" t="s">
        <v>5</v>
      </c>
      <c r="H787">
        <f>116262*(1.01^10)</f>
        <v>128425.57754455748</v>
      </c>
      <c r="I787">
        <f>704971*(1.01^10)</f>
        <v>778726.56437326246</v>
      </c>
      <c r="J787" t="s">
        <v>2960</v>
      </c>
      <c r="K787">
        <f t="shared" si="12"/>
        <v>964.71621991183144</v>
      </c>
    </row>
    <row r="788" spans="1:11" x14ac:dyDescent="0.2">
      <c r="A788" t="s">
        <v>2679</v>
      </c>
      <c r="B788" t="s">
        <v>2949</v>
      </c>
      <c r="C788" t="s">
        <v>2961</v>
      </c>
      <c r="D788" t="s">
        <v>2962</v>
      </c>
      <c r="E788" t="s">
        <v>1350</v>
      </c>
      <c r="F788" t="s">
        <v>142</v>
      </c>
      <c r="G788" t="s">
        <v>458</v>
      </c>
      <c r="H788">
        <f>289242*(1.01^10)</f>
        <v>319503.11279818771</v>
      </c>
      <c r="I788">
        <f>1628338*(1.01^10)</f>
        <v>1798698.1824478302</v>
      </c>
      <c r="J788" t="s">
        <v>2963</v>
      </c>
      <c r="K788">
        <f t="shared" si="12"/>
        <v>2469.36889914422</v>
      </c>
    </row>
    <row r="789" spans="1:11" x14ac:dyDescent="0.2">
      <c r="A789" t="s">
        <v>2679</v>
      </c>
      <c r="B789" t="s">
        <v>2949</v>
      </c>
      <c r="C789" t="s">
        <v>2964</v>
      </c>
      <c r="D789" t="s">
        <v>2965</v>
      </c>
      <c r="E789" t="s">
        <v>716</v>
      </c>
      <c r="F789" t="s">
        <v>103</v>
      </c>
      <c r="G789" t="s">
        <v>11</v>
      </c>
      <c r="H789">
        <f>79444*(1.01^10)</f>
        <v>87755.600131167754</v>
      </c>
      <c r="I789">
        <f>476756*(1.01^10)</f>
        <v>526635.22602254432</v>
      </c>
      <c r="J789" t="s">
        <v>2966</v>
      </c>
      <c r="K789">
        <f t="shared" si="12"/>
        <v>915.86779101005868</v>
      </c>
    </row>
    <row r="790" spans="1:11" x14ac:dyDescent="0.2">
      <c r="A790" t="s">
        <v>2679</v>
      </c>
      <c r="B790" t="s">
        <v>2949</v>
      </c>
      <c r="C790" t="s">
        <v>2967</v>
      </c>
      <c r="D790" t="s">
        <v>2968</v>
      </c>
      <c r="E790" t="s">
        <v>1089</v>
      </c>
      <c r="F790" t="s">
        <v>619</v>
      </c>
      <c r="G790" t="s">
        <v>17</v>
      </c>
      <c r="H790">
        <f>79848*(1.01^10)</f>
        <v>88201.867469833873</v>
      </c>
      <c r="I790">
        <f>472366*(1.01^10)</f>
        <v>521785.93489198916</v>
      </c>
      <c r="J790" t="s">
        <v>2969</v>
      </c>
      <c r="K790">
        <f t="shared" si="12"/>
        <v>809.50011020167972</v>
      </c>
    </row>
    <row r="791" spans="1:11" x14ac:dyDescent="0.2">
      <c r="A791" t="s">
        <v>2679</v>
      </c>
      <c r="B791" t="s">
        <v>413</v>
      </c>
      <c r="C791" t="s">
        <v>2970</v>
      </c>
      <c r="D791" t="s">
        <v>2971</v>
      </c>
      <c r="E791" t="s">
        <v>1721</v>
      </c>
      <c r="F791" t="s">
        <v>789</v>
      </c>
      <c r="G791" t="s">
        <v>158</v>
      </c>
      <c r="H791">
        <f>142711*(1.01^10)</f>
        <v>157641.72813955843</v>
      </c>
      <c r="I791">
        <f>794886*(1.01^10)</f>
        <v>878048.66277961095</v>
      </c>
      <c r="J791" t="s">
        <v>2972</v>
      </c>
      <c r="K791">
        <f t="shared" si="12"/>
        <v>838.6741986582025</v>
      </c>
    </row>
    <row r="792" spans="1:11" x14ac:dyDescent="0.2">
      <c r="A792" t="s">
        <v>2679</v>
      </c>
      <c r="B792" t="s">
        <v>413</v>
      </c>
      <c r="C792" t="s">
        <v>2973</v>
      </c>
      <c r="D792" t="s">
        <v>2974</v>
      </c>
      <c r="E792" t="s">
        <v>1910</v>
      </c>
      <c r="F792" t="s">
        <v>176</v>
      </c>
      <c r="G792" t="s">
        <v>11</v>
      </c>
      <c r="H792">
        <f>110111*(1.01^10)</f>
        <v>121631.04685115317</v>
      </c>
      <c r="I792">
        <f>636813*(1.01^10)</f>
        <v>703437.72954948549</v>
      </c>
      <c r="J792" t="s">
        <v>2975</v>
      </c>
      <c r="K792">
        <f t="shared" si="12"/>
        <v>759.05239662256724</v>
      </c>
    </row>
    <row r="793" spans="1:11" x14ac:dyDescent="0.2">
      <c r="A793" t="s">
        <v>2679</v>
      </c>
      <c r="B793" t="s">
        <v>413</v>
      </c>
      <c r="C793" t="s">
        <v>2977</v>
      </c>
      <c r="D793" t="s">
        <v>2978</v>
      </c>
      <c r="E793" t="s">
        <v>641</v>
      </c>
      <c r="F793" t="s">
        <v>619</v>
      </c>
      <c r="G793" t="s">
        <v>17</v>
      </c>
      <c r="H793">
        <f>109751*(1.01^10)</f>
        <v>121233.38288600513</v>
      </c>
      <c r="I793">
        <f>599308*(1.01^10)</f>
        <v>662008.87673593825</v>
      </c>
      <c r="J793" t="s">
        <v>2979</v>
      </c>
      <c r="K793">
        <f t="shared" si="12"/>
        <v>386.61285603697087</v>
      </c>
    </row>
    <row r="794" spans="1:11" x14ac:dyDescent="0.2">
      <c r="A794" t="s">
        <v>2679</v>
      </c>
      <c r="B794" t="s">
        <v>453</v>
      </c>
      <c r="C794" t="s">
        <v>2980</v>
      </c>
      <c r="D794" t="s">
        <v>2981</v>
      </c>
      <c r="E794" t="s">
        <v>2982</v>
      </c>
      <c r="F794" t="s">
        <v>674</v>
      </c>
      <c r="G794" t="s">
        <v>17</v>
      </c>
      <c r="H794">
        <f>121728*(1.01^10)</f>
        <v>134463.44208205515</v>
      </c>
      <c r="I794">
        <f>674066*(1.01^10)</f>
        <v>744588.2175874291</v>
      </c>
      <c r="J794" t="s">
        <v>2983</v>
      </c>
      <c r="K794">
        <f t="shared" si="12"/>
        <v>574.35450916108005</v>
      </c>
    </row>
    <row r="795" spans="1:11" x14ac:dyDescent="0.2">
      <c r="A795" t="s">
        <v>2679</v>
      </c>
      <c r="B795" t="s">
        <v>453</v>
      </c>
      <c r="C795" t="s">
        <v>2984</v>
      </c>
      <c r="D795" t="s">
        <v>2985</v>
      </c>
      <c r="E795" t="s">
        <v>2986</v>
      </c>
      <c r="F795" t="s">
        <v>51</v>
      </c>
      <c r="G795" t="s">
        <v>11</v>
      </c>
      <c r="H795">
        <f>128063*(1.01^10)</f>
        <v>141461.22324653511</v>
      </c>
      <c r="I795">
        <f>736697*(1.01^10)</f>
        <v>813771.80592405831</v>
      </c>
      <c r="J795" t="s">
        <v>2987</v>
      </c>
      <c r="K795">
        <f t="shared" si="12"/>
        <v>745.78512186271041</v>
      </c>
    </row>
    <row r="796" spans="1:11" x14ac:dyDescent="0.2">
      <c r="A796" t="s">
        <v>2679</v>
      </c>
      <c r="B796" t="s">
        <v>453</v>
      </c>
      <c r="C796" t="s">
        <v>2989</v>
      </c>
      <c r="D796" t="s">
        <v>2990</v>
      </c>
      <c r="E796" t="s">
        <v>1522</v>
      </c>
      <c r="F796" t="s">
        <v>1545</v>
      </c>
      <c r="G796" t="s">
        <v>5</v>
      </c>
      <c r="H796">
        <f>176012*(1.01^10)</f>
        <v>194426.74953787698</v>
      </c>
      <c r="I796">
        <f>999095*(1.01^10)</f>
        <v>1103622.4423877075</v>
      </c>
      <c r="J796" t="s">
        <v>2991</v>
      </c>
      <c r="K796">
        <f t="shared" si="12"/>
        <v>1058.6994693457127</v>
      </c>
    </row>
    <row r="797" spans="1:11" x14ac:dyDescent="0.2">
      <c r="A797" t="s">
        <v>2679</v>
      </c>
      <c r="B797" t="s">
        <v>453</v>
      </c>
      <c r="C797" t="s">
        <v>2993</v>
      </c>
      <c r="D797" t="s">
        <v>2994</v>
      </c>
      <c r="E797" t="s">
        <v>154</v>
      </c>
      <c r="F797" t="s">
        <v>1106</v>
      </c>
      <c r="G797" t="s">
        <v>17</v>
      </c>
      <c r="H797">
        <f>101698*(1.01^10)</f>
        <v>112337.8609100687</v>
      </c>
      <c r="I797">
        <f>596680*(1.01^10)</f>
        <v>659105.92979035759</v>
      </c>
      <c r="J797" t="s">
        <v>2995</v>
      </c>
      <c r="K797">
        <f t="shared" si="12"/>
        <v>687.99179372640799</v>
      </c>
    </row>
    <row r="798" spans="1:11" x14ac:dyDescent="0.2">
      <c r="A798" t="s">
        <v>2679</v>
      </c>
      <c r="B798" t="s">
        <v>1140</v>
      </c>
      <c r="C798" t="s">
        <v>2997</v>
      </c>
      <c r="D798" t="s">
        <v>2998</v>
      </c>
      <c r="E798" t="s">
        <v>1944</v>
      </c>
      <c r="F798" t="s">
        <v>405</v>
      </c>
      <c r="G798" t="s">
        <v>17</v>
      </c>
      <c r="H798">
        <f>76834*(1.01^10)</f>
        <v>84872.536383844505</v>
      </c>
      <c r="I798">
        <f>416813*(1.01^10)</f>
        <v>460420.86195902049</v>
      </c>
      <c r="J798" t="s">
        <v>2999</v>
      </c>
      <c r="K798">
        <f t="shared" si="12"/>
        <v>533.53438127489483</v>
      </c>
    </row>
    <row r="799" spans="1:11" x14ac:dyDescent="0.2">
      <c r="A799" t="s">
        <v>2679</v>
      </c>
      <c r="B799" t="s">
        <v>1140</v>
      </c>
      <c r="C799" t="s">
        <v>3000</v>
      </c>
      <c r="D799" t="s">
        <v>3001</v>
      </c>
      <c r="E799" t="s">
        <v>1352</v>
      </c>
      <c r="F799" t="s">
        <v>405</v>
      </c>
      <c r="G799" t="s">
        <v>12</v>
      </c>
      <c r="H799">
        <f>60630*(1.01^10)</f>
        <v>66973.239463681341</v>
      </c>
      <c r="I799">
        <f>336505*(1.01^10)</f>
        <v>371710.86831149744</v>
      </c>
      <c r="J799" t="s">
        <v>3002</v>
      </c>
      <c r="K799">
        <f t="shared" si="12"/>
        <v>235.86815085002098</v>
      </c>
    </row>
    <row r="800" spans="1:11" x14ac:dyDescent="0.2">
      <c r="A800" t="s">
        <v>2679</v>
      </c>
      <c r="B800" t="s">
        <v>1140</v>
      </c>
      <c r="C800" t="s">
        <v>3003</v>
      </c>
      <c r="D800" t="s">
        <v>3004</v>
      </c>
      <c r="E800" t="s">
        <v>455</v>
      </c>
      <c r="F800" t="s">
        <v>274</v>
      </c>
      <c r="G800" t="s">
        <v>11</v>
      </c>
      <c r="H800">
        <f>133194*(1.01^10)</f>
        <v>147129.03937201999</v>
      </c>
      <c r="I800">
        <f>702701*(1.01^10)</f>
        <v>776219.07214857894</v>
      </c>
      <c r="J800" t="s">
        <v>3005</v>
      </c>
      <c r="K800">
        <f t="shared" si="12"/>
        <v>588.90908820077448</v>
      </c>
    </row>
    <row r="801" spans="1:11" x14ac:dyDescent="0.2">
      <c r="A801" t="s">
        <v>2679</v>
      </c>
      <c r="B801" t="s">
        <v>1140</v>
      </c>
      <c r="C801" t="s">
        <v>3006</v>
      </c>
      <c r="D801" t="s">
        <v>3007</v>
      </c>
      <c r="E801" t="s">
        <v>2164</v>
      </c>
      <c r="F801" t="s">
        <v>77</v>
      </c>
      <c r="G801" t="s">
        <v>11</v>
      </c>
      <c r="H801">
        <f>155609*(1.01^10)</f>
        <v>171889.14431311216</v>
      </c>
      <c r="I801">
        <f>817180*(1.01^10)</f>
        <v>902675.1084435283</v>
      </c>
      <c r="J801" t="s">
        <v>3008</v>
      </c>
      <c r="K801">
        <f t="shared" si="12"/>
        <v>681.60029201123984</v>
      </c>
    </row>
    <row r="802" spans="1:11" x14ac:dyDescent="0.2">
      <c r="A802" t="s">
        <v>2679</v>
      </c>
      <c r="B802" t="s">
        <v>1140</v>
      </c>
      <c r="C802" t="s">
        <v>3009</v>
      </c>
      <c r="D802" t="s">
        <v>3010</v>
      </c>
      <c r="E802" t="s">
        <v>749</v>
      </c>
      <c r="F802" t="s">
        <v>382</v>
      </c>
      <c r="G802" t="s">
        <v>5</v>
      </c>
      <c r="H802">
        <f>214080*(1.01^10)</f>
        <v>236477.50460803072</v>
      </c>
      <c r="I802">
        <f>1160089*(1.01^10)</f>
        <v>1281459.9768461592</v>
      </c>
      <c r="J802" t="s">
        <v>3011</v>
      </c>
      <c r="K802">
        <f t="shared" si="12"/>
        <v>869.33526912264392</v>
      </c>
    </row>
    <row r="803" spans="1:11" x14ac:dyDescent="0.2">
      <c r="A803" t="s">
        <v>2679</v>
      </c>
      <c r="B803" t="s">
        <v>1140</v>
      </c>
      <c r="C803" t="s">
        <v>3013</v>
      </c>
      <c r="D803" t="s">
        <v>3014</v>
      </c>
      <c r="E803" t="s">
        <v>352</v>
      </c>
      <c r="F803" t="s">
        <v>44</v>
      </c>
      <c r="G803" t="s">
        <v>12</v>
      </c>
      <c r="H803">
        <f>104730*(1.01^10)</f>
        <v>115687.07519431548</v>
      </c>
      <c r="I803">
        <f>587955*(1.01^10)</f>
        <v>649468.10174614494</v>
      </c>
      <c r="J803" t="s">
        <v>3015</v>
      </c>
      <c r="K803">
        <f t="shared" si="12"/>
        <v>577.49430942491927</v>
      </c>
    </row>
    <row r="804" spans="1:11" x14ac:dyDescent="0.2">
      <c r="A804" t="s">
        <v>2679</v>
      </c>
      <c r="B804" t="s">
        <v>2400</v>
      </c>
      <c r="C804" t="s">
        <v>3016</v>
      </c>
      <c r="D804" t="s">
        <v>3017</v>
      </c>
      <c r="E804" t="s">
        <v>2033</v>
      </c>
      <c r="F804" t="s">
        <v>92</v>
      </c>
      <c r="G804" t="s">
        <v>17</v>
      </c>
      <c r="H804">
        <f>171122*(1.01^10)</f>
        <v>189025.14734461618</v>
      </c>
      <c r="I804">
        <f>926201*(1.01^10)</f>
        <v>1023102.1171779833</v>
      </c>
      <c r="J804" t="s">
        <v>3018</v>
      </c>
      <c r="K804">
        <f t="shared" si="12"/>
        <v>734.64466289556469</v>
      </c>
    </row>
    <row r="805" spans="1:11" x14ac:dyDescent="0.2">
      <c r="A805" t="s">
        <v>2679</v>
      </c>
      <c r="B805" t="s">
        <v>2400</v>
      </c>
      <c r="C805" t="s">
        <v>3019</v>
      </c>
      <c r="D805" t="s">
        <v>3020</v>
      </c>
      <c r="E805" t="s">
        <v>1108</v>
      </c>
      <c r="F805" t="s">
        <v>6</v>
      </c>
      <c r="G805" t="s">
        <v>5</v>
      </c>
      <c r="H805">
        <f>159194*(1.01^10)</f>
        <v>175849.21463271132</v>
      </c>
      <c r="I805">
        <f>889474*(1.01^10)</f>
        <v>982532.66037800594</v>
      </c>
      <c r="J805" t="s">
        <v>3021</v>
      </c>
      <c r="K805">
        <f t="shared" si="12"/>
        <v>1158.2443955020387</v>
      </c>
    </row>
    <row r="806" spans="1:11" x14ac:dyDescent="0.2">
      <c r="A806" t="s">
        <v>2679</v>
      </c>
      <c r="B806" t="s">
        <v>2400</v>
      </c>
      <c r="C806" t="s">
        <v>3022</v>
      </c>
      <c r="D806" t="s">
        <v>3023</v>
      </c>
      <c r="E806" t="s">
        <v>79</v>
      </c>
      <c r="F806" t="s">
        <v>158</v>
      </c>
      <c r="G806" t="s">
        <v>17</v>
      </c>
      <c r="H806">
        <f>131326*(1.01^10)</f>
        <v>145065.60524175188</v>
      </c>
      <c r="I806">
        <f>753419*(1.01^10)</f>
        <v>832243.29710518452</v>
      </c>
      <c r="J806" t="s">
        <v>3024</v>
      </c>
      <c r="K806">
        <f t="shared" si="12"/>
        <v>862.7223480355342</v>
      </c>
    </row>
    <row r="807" spans="1:11" x14ac:dyDescent="0.2">
      <c r="A807" t="s">
        <v>2679</v>
      </c>
      <c r="B807" t="s">
        <v>2400</v>
      </c>
      <c r="C807" t="s">
        <v>3025</v>
      </c>
      <c r="D807" t="s">
        <v>3026</v>
      </c>
      <c r="E807" t="s">
        <v>330</v>
      </c>
      <c r="F807" t="s">
        <v>158</v>
      </c>
      <c r="G807" t="s">
        <v>12</v>
      </c>
      <c r="H807">
        <f>133459*(1.01^10)</f>
        <v>147421.76423525397</v>
      </c>
      <c r="I807">
        <f>750529*(1.01^10)</f>
        <v>829050.93916274607</v>
      </c>
      <c r="J807" t="s">
        <v>3027</v>
      </c>
      <c r="K807">
        <f t="shared" si="12"/>
        <v>856.61461552893104</v>
      </c>
    </row>
    <row r="808" spans="1:11" x14ac:dyDescent="0.2">
      <c r="A808" t="s">
        <v>2679</v>
      </c>
      <c r="B808" t="s">
        <v>2400</v>
      </c>
      <c r="C808" t="s">
        <v>3029</v>
      </c>
      <c r="D808" t="s">
        <v>3030</v>
      </c>
      <c r="E808" t="s">
        <v>330</v>
      </c>
      <c r="F808" t="s">
        <v>92</v>
      </c>
      <c r="G808" t="s">
        <v>17</v>
      </c>
      <c r="H808">
        <f>104086*(1.01^10)</f>
        <v>114975.69854555065</v>
      </c>
      <c r="I808">
        <f>595252*(1.01^10)</f>
        <v>657528.52939527039</v>
      </c>
      <c r="J808" t="s">
        <v>3031</v>
      </c>
      <c r="K808">
        <f t="shared" si="12"/>
        <v>814.97590091031304</v>
      </c>
    </row>
    <row r="809" spans="1:11" x14ac:dyDescent="0.2">
      <c r="A809" t="s">
        <v>2679</v>
      </c>
      <c r="B809" t="s">
        <v>2400</v>
      </c>
      <c r="C809" t="s">
        <v>3032</v>
      </c>
      <c r="D809" t="s">
        <v>3033</v>
      </c>
      <c r="E809" t="s">
        <v>657</v>
      </c>
      <c r="F809" t="s">
        <v>17</v>
      </c>
      <c r="G809" t="s">
        <v>12</v>
      </c>
      <c r="H809">
        <f>102577*(1.01^10)</f>
        <v>113308.82375830515</v>
      </c>
      <c r="I809">
        <f>569117*(1.01^10)</f>
        <v>628659.2301476486</v>
      </c>
      <c r="J809" t="s">
        <v>3034</v>
      </c>
      <c r="K809">
        <f t="shared" si="12"/>
        <v>824.202022460482</v>
      </c>
    </row>
    <row r="810" spans="1:11" x14ac:dyDescent="0.2">
      <c r="A810" t="s">
        <v>2679</v>
      </c>
      <c r="B810" t="s">
        <v>1441</v>
      </c>
      <c r="C810" t="s">
        <v>3035</v>
      </c>
      <c r="D810" t="s">
        <v>3036</v>
      </c>
      <c r="E810" t="s">
        <v>984</v>
      </c>
      <c r="F810" t="s">
        <v>16</v>
      </c>
      <c r="G810" t="s">
        <v>17</v>
      </c>
      <c r="H810">
        <f>134640*(1.01^10)</f>
        <v>148726.32296536461</v>
      </c>
      <c r="I810">
        <f>761209*(1.01^10)</f>
        <v>840848.3034621377</v>
      </c>
      <c r="J810" t="s">
        <v>3037</v>
      </c>
      <c r="K810">
        <f t="shared" si="12"/>
        <v>866.70246127961241</v>
      </c>
    </row>
    <row r="811" spans="1:11" x14ac:dyDescent="0.2">
      <c r="A811" t="s">
        <v>2679</v>
      </c>
      <c r="B811" t="s">
        <v>1441</v>
      </c>
      <c r="C811" t="s">
        <v>3038</v>
      </c>
      <c r="D811" t="s">
        <v>3039</v>
      </c>
      <c r="E811" t="s">
        <v>2550</v>
      </c>
      <c r="F811" t="s">
        <v>264</v>
      </c>
      <c r="G811" t="s">
        <v>12</v>
      </c>
      <c r="H811">
        <f>82147*(1.01^10)</f>
        <v>90741.393736154234</v>
      </c>
      <c r="I811">
        <f>483668*(1.01^10)</f>
        <v>534270.37415338657</v>
      </c>
      <c r="J811" t="s">
        <v>3040</v>
      </c>
      <c r="K811">
        <f t="shared" si="12"/>
        <v>513.99354945201412</v>
      </c>
    </row>
    <row r="812" spans="1:11" x14ac:dyDescent="0.2">
      <c r="A812" t="s">
        <v>2679</v>
      </c>
      <c r="B812" t="s">
        <v>1441</v>
      </c>
      <c r="C812" t="s">
        <v>3042</v>
      </c>
      <c r="D812" t="s">
        <v>3043</v>
      </c>
      <c r="E812" t="s">
        <v>3044</v>
      </c>
      <c r="F812" t="s">
        <v>356</v>
      </c>
      <c r="G812" t="s">
        <v>17</v>
      </c>
      <c r="H812">
        <f>214025*(1.01^10)</f>
        <v>236416.7503911331</v>
      </c>
      <c r="I812">
        <f>1199103*(1.01^10)</f>
        <v>1324555.7044469519</v>
      </c>
      <c r="J812" t="s">
        <v>3045</v>
      </c>
      <c r="K812">
        <f t="shared" si="12"/>
        <v>835.80942775406629</v>
      </c>
    </row>
    <row r="813" spans="1:11" x14ac:dyDescent="0.2">
      <c r="A813" t="s">
        <v>2679</v>
      </c>
      <c r="B813" t="s">
        <v>1441</v>
      </c>
      <c r="C813" t="s">
        <v>3046</v>
      </c>
      <c r="D813" t="s">
        <v>3047</v>
      </c>
      <c r="E813" t="s">
        <v>1374</v>
      </c>
      <c r="F813" t="s">
        <v>674</v>
      </c>
      <c r="G813" t="s">
        <v>92</v>
      </c>
      <c r="H813">
        <f>113287*(1.01^10)</f>
        <v>125139.32672145915</v>
      </c>
      <c r="I813">
        <f>665752*(1.01^10)</f>
        <v>735404.38923676033</v>
      </c>
      <c r="J813" t="s">
        <v>3048</v>
      </c>
      <c r="K813">
        <f t="shared" si="12"/>
        <v>773.96218512347764</v>
      </c>
    </row>
    <row r="814" spans="1:11" x14ac:dyDescent="0.2">
      <c r="A814" t="s">
        <v>2679</v>
      </c>
      <c r="B814" t="s">
        <v>1441</v>
      </c>
      <c r="C814" t="s">
        <v>3049</v>
      </c>
      <c r="D814" t="s">
        <v>3050</v>
      </c>
      <c r="E814" t="s">
        <v>962</v>
      </c>
      <c r="F814" t="s">
        <v>24</v>
      </c>
      <c r="G814" t="s">
        <v>11</v>
      </c>
      <c r="H814">
        <f>186343*(1.01^10)</f>
        <v>205838.60071550013</v>
      </c>
      <c r="I814">
        <f>983113*(1.01^10)</f>
        <v>1085968.3715793858</v>
      </c>
      <c r="J814" t="s">
        <v>3051</v>
      </c>
      <c r="K814">
        <f t="shared" si="12"/>
        <v>753.39038308997578</v>
      </c>
    </row>
    <row r="815" spans="1:11" x14ac:dyDescent="0.2">
      <c r="A815" t="s">
        <v>2679</v>
      </c>
      <c r="B815" t="s">
        <v>540</v>
      </c>
      <c r="C815" t="s">
        <v>3052</v>
      </c>
      <c r="D815" t="s">
        <v>3053</v>
      </c>
      <c r="E815" t="s">
        <v>1397</v>
      </c>
      <c r="F815" t="s">
        <v>726</v>
      </c>
      <c r="G815" t="s">
        <v>158</v>
      </c>
      <c r="H815">
        <f>126794*(1.01^10)</f>
        <v>140059.4577693883</v>
      </c>
      <c r="I815">
        <f>711612*(1.01^10)</f>
        <v>786062.35990811826</v>
      </c>
      <c r="J815" t="s">
        <v>3054</v>
      </c>
      <c r="K815">
        <f t="shared" si="12"/>
        <v>766.69591077380937</v>
      </c>
    </row>
    <row r="816" spans="1:11" x14ac:dyDescent="0.2">
      <c r="A816" t="s">
        <v>2679</v>
      </c>
      <c r="B816" t="s">
        <v>540</v>
      </c>
      <c r="C816" t="s">
        <v>3056</v>
      </c>
      <c r="D816" t="s">
        <v>3057</v>
      </c>
      <c r="E816" t="s">
        <v>289</v>
      </c>
      <c r="F816" t="s">
        <v>220</v>
      </c>
      <c r="G816" t="s">
        <v>158</v>
      </c>
      <c r="H816">
        <f>136124*(1.01^10)</f>
        <v>150365.58219947483</v>
      </c>
      <c r="I816">
        <f>719998*(1.01^10)</f>
        <v>795325.7210518166</v>
      </c>
      <c r="J816" t="s">
        <v>3058</v>
      </c>
      <c r="K816">
        <f t="shared" si="12"/>
        <v>711.88004833259413</v>
      </c>
    </row>
    <row r="817" spans="1:11" x14ac:dyDescent="0.2">
      <c r="A817" t="s">
        <v>2679</v>
      </c>
      <c r="B817" t="s">
        <v>540</v>
      </c>
      <c r="C817" t="s">
        <v>3059</v>
      </c>
      <c r="D817" t="s">
        <v>3060</v>
      </c>
      <c r="E817" t="s">
        <v>918</v>
      </c>
      <c r="F817" t="s">
        <v>726</v>
      </c>
      <c r="G817" t="s">
        <v>92</v>
      </c>
      <c r="H817">
        <f>172228*(1.01^10)</f>
        <v>190246.85941532097</v>
      </c>
      <c r="I817">
        <f>876918*(1.01^10)</f>
        <v>968663.02497134288</v>
      </c>
      <c r="J817" t="s">
        <v>3061</v>
      </c>
      <c r="K817">
        <f t="shared" si="12"/>
        <v>967.93677201362732</v>
      </c>
    </row>
    <row r="818" spans="1:11" x14ac:dyDescent="0.2">
      <c r="A818" t="s">
        <v>2679</v>
      </c>
      <c r="B818" t="s">
        <v>540</v>
      </c>
      <c r="C818" t="s">
        <v>3062</v>
      </c>
      <c r="D818" t="s">
        <v>3063</v>
      </c>
      <c r="E818" t="s">
        <v>358</v>
      </c>
      <c r="F818" t="s">
        <v>382</v>
      </c>
      <c r="G818" t="s">
        <v>17</v>
      </c>
      <c r="H818">
        <f>87629*(1.01^10)</f>
        <v>96796.932227658457</v>
      </c>
      <c r="I818">
        <f>459539*(1.01^10)</f>
        <v>507616.9468893396</v>
      </c>
      <c r="J818" t="s">
        <v>3064</v>
      </c>
      <c r="K818">
        <f t="shared" si="12"/>
        <v>639.89166102752563</v>
      </c>
    </row>
    <row r="819" spans="1:11" x14ac:dyDescent="0.2">
      <c r="A819" t="s">
        <v>2679</v>
      </c>
      <c r="B819" t="s">
        <v>540</v>
      </c>
      <c r="C819" t="s">
        <v>3065</v>
      </c>
      <c r="D819" t="s">
        <v>3066</v>
      </c>
      <c r="E819" t="s">
        <v>1200</v>
      </c>
      <c r="F819" t="s">
        <v>458</v>
      </c>
      <c r="G819" t="s">
        <v>17</v>
      </c>
      <c r="H819">
        <f>65758*(1.01^10)</f>
        <v>72637.74172279</v>
      </c>
      <c r="I819">
        <f>340300*(1.01^10)</f>
        <v>375902.90927743295</v>
      </c>
      <c r="J819" t="s">
        <v>3067</v>
      </c>
      <c r="K819">
        <f t="shared" si="12"/>
        <v>604.84881440500885</v>
      </c>
    </row>
    <row r="820" spans="1:11" x14ac:dyDescent="0.2">
      <c r="A820" t="s">
        <v>2679</v>
      </c>
      <c r="B820" t="s">
        <v>467</v>
      </c>
      <c r="C820" t="s">
        <v>3069</v>
      </c>
      <c r="D820" t="s">
        <v>3070</v>
      </c>
      <c r="E820" t="s">
        <v>128</v>
      </c>
      <c r="F820" t="s">
        <v>17</v>
      </c>
      <c r="G820" t="s">
        <v>12</v>
      </c>
      <c r="H820">
        <f>65863*(1.01^10)</f>
        <v>72753.727045958178</v>
      </c>
      <c r="I820">
        <f>368453*(1.01^10)</f>
        <v>407001.33597413462</v>
      </c>
      <c r="J820" t="s">
        <v>3071</v>
      </c>
      <c r="K820">
        <f t="shared" si="12"/>
        <v>857.71120159838597</v>
      </c>
    </row>
    <row r="821" spans="1:11" x14ac:dyDescent="0.2">
      <c r="A821" t="s">
        <v>2679</v>
      </c>
      <c r="B821" t="s">
        <v>467</v>
      </c>
      <c r="C821" t="s">
        <v>3072</v>
      </c>
      <c r="D821" t="s">
        <v>3073</v>
      </c>
      <c r="E821" t="s">
        <v>128</v>
      </c>
      <c r="F821" t="s">
        <v>12</v>
      </c>
      <c r="G821" t="s">
        <v>11</v>
      </c>
      <c r="H821">
        <f>62443*(1.01^10)</f>
        <v>68975.919377051861</v>
      </c>
      <c r="I821">
        <f>349654*(1.01^10)</f>
        <v>386235.54463852936</v>
      </c>
      <c r="J821" t="s">
        <v>3074</v>
      </c>
      <c r="K821">
        <f t="shared" si="12"/>
        <v>923.93891033030957</v>
      </c>
    </row>
    <row r="822" spans="1:11" x14ac:dyDescent="0.2">
      <c r="A822" t="s">
        <v>2679</v>
      </c>
      <c r="B822" t="s">
        <v>467</v>
      </c>
      <c r="C822" t="s">
        <v>3076</v>
      </c>
      <c r="D822" t="s">
        <v>3077</v>
      </c>
      <c r="E822" t="s">
        <v>624</v>
      </c>
      <c r="F822" t="s">
        <v>12</v>
      </c>
      <c r="G822" t="s">
        <v>92</v>
      </c>
      <c r="H822">
        <f>641360*(1.01^10)</f>
        <v>708460.44635373028</v>
      </c>
      <c r="I822">
        <f>3391208*(1.01^10)</f>
        <v>3746003.3886714811</v>
      </c>
      <c r="J822" t="s">
        <v>3078</v>
      </c>
      <c r="K822">
        <f t="shared" si="12"/>
        <v>3995.4181372349822</v>
      </c>
    </row>
    <row r="823" spans="1:11" x14ac:dyDescent="0.2">
      <c r="A823" t="s">
        <v>2679</v>
      </c>
      <c r="B823" t="s">
        <v>467</v>
      </c>
      <c r="C823" t="s">
        <v>3079</v>
      </c>
      <c r="D823" t="s">
        <v>3080</v>
      </c>
      <c r="E823" t="s">
        <v>1689</v>
      </c>
      <c r="F823" t="s">
        <v>24</v>
      </c>
      <c r="G823" t="s">
        <v>11</v>
      </c>
      <c r="H823">
        <f>91037*(1.01^10)</f>
        <v>100561.48443105984</v>
      </c>
      <c r="I823">
        <f>480523*(1.01^10)</f>
        <v>530796.3375689683</v>
      </c>
      <c r="J823" t="s">
        <v>3081</v>
      </c>
      <c r="K823">
        <f t="shared" si="12"/>
        <v>760.59127196631982</v>
      </c>
    </row>
    <row r="824" spans="1:11" x14ac:dyDescent="0.2">
      <c r="A824" t="s">
        <v>2679</v>
      </c>
      <c r="B824" t="s">
        <v>833</v>
      </c>
      <c r="C824" t="s">
        <v>3082</v>
      </c>
      <c r="D824" t="s">
        <v>3083</v>
      </c>
      <c r="E824" t="s">
        <v>342</v>
      </c>
      <c r="F824" t="s">
        <v>24</v>
      </c>
      <c r="G824" t="s">
        <v>17</v>
      </c>
      <c r="H824">
        <f>81804*(1.01^10)</f>
        <v>90362.508347138195</v>
      </c>
      <c r="I824">
        <f>433664*(1.01^10)</f>
        <v>479034.8493943247</v>
      </c>
      <c r="J824" t="s">
        <v>3084</v>
      </c>
      <c r="K824">
        <f t="shared" si="12"/>
        <v>662.7812722389441</v>
      </c>
    </row>
    <row r="825" spans="1:11" x14ac:dyDescent="0.2">
      <c r="A825" t="s">
        <v>2679</v>
      </c>
      <c r="B825" t="s">
        <v>833</v>
      </c>
      <c r="C825" t="s">
        <v>3086</v>
      </c>
      <c r="D825" t="s">
        <v>3087</v>
      </c>
      <c r="E825" t="s">
        <v>284</v>
      </c>
      <c r="F825" t="s">
        <v>12</v>
      </c>
      <c r="G825" t="s">
        <v>12</v>
      </c>
      <c r="H825">
        <f>86431*(1.01^10)</f>
        <v>95473.594921415832</v>
      </c>
      <c r="I825">
        <f>502052*(1.01^10)</f>
        <v>554577.7473069462</v>
      </c>
      <c r="J825" t="s">
        <v>3088</v>
      </c>
      <c r="K825">
        <f t="shared" si="12"/>
        <v>825.22177334957462</v>
      </c>
    </row>
    <row r="826" spans="1:11" x14ac:dyDescent="0.2">
      <c r="A826" t="s">
        <v>2679</v>
      </c>
      <c r="B826" t="s">
        <v>833</v>
      </c>
      <c r="C826" t="s">
        <v>3089</v>
      </c>
      <c r="D826" t="s">
        <v>3090</v>
      </c>
      <c r="E826" t="s">
        <v>2290</v>
      </c>
      <c r="F826" t="s">
        <v>92</v>
      </c>
      <c r="G826" t="s">
        <v>12</v>
      </c>
      <c r="H826">
        <f>153625*(1.01^10)</f>
        <v>169697.57401629633</v>
      </c>
      <c r="I826">
        <f>831147*(1.01^10)</f>
        <v>918103.36566914665</v>
      </c>
      <c r="J826" t="s">
        <v>3091</v>
      </c>
      <c r="K826">
        <f t="shared" si="12"/>
        <v>943.94223796769745</v>
      </c>
    </row>
    <row r="827" spans="1:11" x14ac:dyDescent="0.2">
      <c r="A827" t="s">
        <v>2679</v>
      </c>
      <c r="B827" t="s">
        <v>833</v>
      </c>
      <c r="C827" t="s">
        <v>3092</v>
      </c>
      <c r="D827" t="s">
        <v>3093</v>
      </c>
      <c r="E827" t="s">
        <v>94</v>
      </c>
      <c r="F827" t="s">
        <v>458</v>
      </c>
      <c r="G827" t="s">
        <v>12</v>
      </c>
      <c r="H827">
        <f>95091*(1.01^10)</f>
        <v>105039.62252747687</v>
      </c>
      <c r="I827">
        <f>521260*(1.01^10)</f>
        <v>575795.32909184461</v>
      </c>
      <c r="J827" t="s">
        <v>3094</v>
      </c>
      <c r="K827">
        <f t="shared" si="12"/>
        <v>804.77753823205978</v>
      </c>
    </row>
    <row r="828" spans="1:11" x14ac:dyDescent="0.2">
      <c r="A828" t="s">
        <v>2679</v>
      </c>
      <c r="B828" t="s">
        <v>833</v>
      </c>
      <c r="C828" t="s">
        <v>3095</v>
      </c>
      <c r="D828" t="s">
        <v>3096</v>
      </c>
      <c r="E828" t="s">
        <v>133</v>
      </c>
      <c r="F828" t="s">
        <v>17</v>
      </c>
      <c r="G828" t="s">
        <v>12</v>
      </c>
      <c r="H828">
        <f>54272*(1.01^10)</f>
        <v>59950.051990316904</v>
      </c>
      <c r="I828">
        <f>292749*(1.01^10)</f>
        <v>323377.0225920048</v>
      </c>
      <c r="J828" t="s">
        <v>3097</v>
      </c>
      <c r="K828">
        <f t="shared" si="12"/>
        <v>754.54675253003381</v>
      </c>
    </row>
    <row r="829" spans="1:11" x14ac:dyDescent="0.2">
      <c r="A829" t="s">
        <v>2679</v>
      </c>
      <c r="B829" t="s">
        <v>833</v>
      </c>
      <c r="C829" t="s">
        <v>3098</v>
      </c>
      <c r="D829" t="s">
        <v>3099</v>
      </c>
      <c r="E829" t="s">
        <v>1955</v>
      </c>
      <c r="F829" t="s">
        <v>458</v>
      </c>
      <c r="G829" t="s">
        <v>12</v>
      </c>
      <c r="H829">
        <f>58982*(1.01^10)</f>
        <v>65152.822201003677</v>
      </c>
      <c r="I829">
        <f>324885*(1.01^10)</f>
        <v>358875.15921421925</v>
      </c>
      <c r="J829" t="s">
        <v>3100</v>
      </c>
      <c r="K829">
        <f t="shared" si="12"/>
        <v>836.54315448120087</v>
      </c>
    </row>
    <row r="830" spans="1:11" x14ac:dyDescent="0.2">
      <c r="A830" t="s">
        <v>2679</v>
      </c>
      <c r="B830" t="s">
        <v>833</v>
      </c>
      <c r="C830" t="s">
        <v>3101</v>
      </c>
      <c r="D830" t="s">
        <v>3102</v>
      </c>
      <c r="E830" t="s">
        <v>1410</v>
      </c>
      <c r="F830" t="s">
        <v>158</v>
      </c>
      <c r="G830" t="s">
        <v>17</v>
      </c>
      <c r="H830">
        <f>89502*(1.01^10)</f>
        <v>98865.889468553651</v>
      </c>
      <c r="I830">
        <f>499802*(1.01^10)</f>
        <v>552092.347524771</v>
      </c>
      <c r="J830" t="s">
        <v>3103</v>
      </c>
      <c r="K830">
        <f t="shared" si="12"/>
        <v>825.81913444008558</v>
      </c>
    </row>
    <row r="831" spans="1:11" x14ac:dyDescent="0.2">
      <c r="A831" t="s">
        <v>2679</v>
      </c>
      <c r="B831" t="s">
        <v>1525</v>
      </c>
      <c r="C831" t="s">
        <v>3104</v>
      </c>
      <c r="D831" t="s">
        <v>3105</v>
      </c>
      <c r="E831" t="s">
        <v>3106</v>
      </c>
      <c r="F831" t="s">
        <v>612</v>
      </c>
      <c r="G831" t="s">
        <v>11</v>
      </c>
      <c r="H831">
        <f>110754*(1.01^10)</f>
        <v>122341.31887779257</v>
      </c>
      <c r="I831">
        <f>666051*(1.01^10)</f>
        <v>735734.67125225835</v>
      </c>
      <c r="J831" t="s">
        <v>3107</v>
      </c>
      <c r="K831">
        <f t="shared" si="12"/>
        <v>781.09231358145462</v>
      </c>
    </row>
    <row r="832" spans="1:11" x14ac:dyDescent="0.2">
      <c r="A832" t="s">
        <v>2679</v>
      </c>
      <c r="B832" t="s">
        <v>1525</v>
      </c>
      <c r="C832" t="s">
        <v>3109</v>
      </c>
      <c r="D832" t="s">
        <v>3110</v>
      </c>
      <c r="E832" t="s">
        <v>1233</v>
      </c>
      <c r="F832" t="s">
        <v>72</v>
      </c>
      <c r="G832" t="s">
        <v>24</v>
      </c>
      <c r="H832">
        <f>31041*(1.01^10)</f>
        <v>34288.575394889209</v>
      </c>
      <c r="I832">
        <f>186183*(1.01^10)</f>
        <v>205661.86117543434</v>
      </c>
      <c r="J832" t="s">
        <v>3111</v>
      </c>
      <c r="K832">
        <f t="shared" si="12"/>
        <v>581.8452396929664</v>
      </c>
    </row>
    <row r="833" spans="1:11" x14ac:dyDescent="0.2">
      <c r="A833" t="s">
        <v>2679</v>
      </c>
      <c r="B833" t="s">
        <v>1525</v>
      </c>
      <c r="C833" t="s">
        <v>3113</v>
      </c>
      <c r="D833" t="s">
        <v>3114</v>
      </c>
      <c r="E833" t="s">
        <v>160</v>
      </c>
      <c r="F833" t="s">
        <v>142</v>
      </c>
      <c r="G833" t="s">
        <v>158</v>
      </c>
      <c r="H833">
        <f>172349*(1.01^10)</f>
        <v>190380.51869249574</v>
      </c>
      <c r="I833">
        <f>1032970*(1.01^10)</f>
        <v>1141041.5168860122</v>
      </c>
      <c r="J833" t="s">
        <v>3115</v>
      </c>
      <c r="K833">
        <f t="shared" si="12"/>
        <v>1288.4311410331302</v>
      </c>
    </row>
    <row r="834" spans="1:11" x14ac:dyDescent="0.2">
      <c r="A834" t="s">
        <v>2679</v>
      </c>
      <c r="B834" t="s">
        <v>598</v>
      </c>
      <c r="C834" t="s">
        <v>3116</v>
      </c>
      <c r="D834" t="s">
        <v>3117</v>
      </c>
      <c r="E834" t="s">
        <v>3118</v>
      </c>
      <c r="F834" t="s">
        <v>152</v>
      </c>
      <c r="G834" t="s">
        <v>158</v>
      </c>
      <c r="H834">
        <f>127649*(1.01^10)</f>
        <v>141003.90968661488</v>
      </c>
      <c r="I834">
        <f>768748*(1.01^10)</f>
        <v>849176.04966561287</v>
      </c>
      <c r="J834" t="s">
        <v>3119</v>
      </c>
      <c r="K834">
        <f t="shared" si="12"/>
        <v>973.42359210758127</v>
      </c>
    </row>
    <row r="835" spans="1:11" x14ac:dyDescent="0.2">
      <c r="A835" t="s">
        <v>2679</v>
      </c>
      <c r="B835" t="s">
        <v>598</v>
      </c>
      <c r="C835" t="s">
        <v>3120</v>
      </c>
      <c r="D835" t="s">
        <v>3121</v>
      </c>
      <c r="E835" t="s">
        <v>342</v>
      </c>
      <c r="F835" t="s">
        <v>3122</v>
      </c>
      <c r="G835" t="s">
        <v>12</v>
      </c>
      <c r="H835">
        <f>77968*(1.01^10)</f>
        <v>86125.177874060813</v>
      </c>
      <c r="I835">
        <f>454463*(1.01^10)</f>
        <v>502009.88498075237</v>
      </c>
      <c r="J835" t="s">
        <v>3123</v>
      </c>
      <c r="K835">
        <f t="shared" ref="K835:K898" si="13">I835/J835</f>
        <v>1027.9904173031487</v>
      </c>
    </row>
    <row r="836" spans="1:11" x14ac:dyDescent="0.2">
      <c r="A836" t="s">
        <v>2679</v>
      </c>
      <c r="B836" t="s">
        <v>598</v>
      </c>
      <c r="C836" t="s">
        <v>3124</v>
      </c>
      <c r="D836" t="s">
        <v>3125</v>
      </c>
      <c r="E836" t="s">
        <v>1401</v>
      </c>
      <c r="F836" t="s">
        <v>12</v>
      </c>
      <c r="G836" t="s">
        <v>12</v>
      </c>
      <c r="H836">
        <f>75311*(1.01^10)</f>
        <v>83190.196886843245</v>
      </c>
      <c r="I836">
        <f>433405*(1.01^10)</f>
        <v>478748.7522638432</v>
      </c>
      <c r="J836" t="s">
        <v>3126</v>
      </c>
      <c r="K836">
        <f t="shared" si="13"/>
        <v>653.76166405825256</v>
      </c>
    </row>
    <row r="837" spans="1:11" x14ac:dyDescent="0.2">
      <c r="A837" t="s">
        <v>2679</v>
      </c>
      <c r="B837" t="s">
        <v>269</v>
      </c>
      <c r="C837" t="s">
        <v>3128</v>
      </c>
      <c r="D837" t="s">
        <v>3129</v>
      </c>
      <c r="E837" t="s">
        <v>1223</v>
      </c>
      <c r="F837" t="s">
        <v>24</v>
      </c>
      <c r="G837" t="s">
        <v>12</v>
      </c>
      <c r="H837">
        <f>38138*(1.01^10)</f>
        <v>42128.07861893253</v>
      </c>
      <c r="I837">
        <f>214678*(1.01^10)</f>
        <v>237138.06863902661</v>
      </c>
      <c r="J837" t="s">
        <v>3130</v>
      </c>
      <c r="K837">
        <f t="shared" si="13"/>
        <v>835.39842886333747</v>
      </c>
    </row>
    <row r="838" spans="1:11" x14ac:dyDescent="0.2">
      <c r="A838" t="s">
        <v>2679</v>
      </c>
      <c r="B838" t="s">
        <v>269</v>
      </c>
      <c r="C838" t="s">
        <v>3131</v>
      </c>
      <c r="D838" t="s">
        <v>3132</v>
      </c>
      <c r="E838" t="s">
        <v>612</v>
      </c>
      <c r="F838" t="s">
        <v>12</v>
      </c>
      <c r="G838" t="s">
        <v>24</v>
      </c>
      <c r="H838">
        <f>16664*(1.01^10)</f>
        <v>18407.423097852316</v>
      </c>
      <c r="I838">
        <f>95063*(1.01^10)</f>
        <v>105008.69310796536</v>
      </c>
      <c r="J838" t="s">
        <v>3133</v>
      </c>
      <c r="K838">
        <f t="shared" si="13"/>
        <v>626.84139009216824</v>
      </c>
    </row>
    <row r="839" spans="1:11" x14ac:dyDescent="0.2">
      <c r="A839" t="s">
        <v>2679</v>
      </c>
      <c r="B839" t="s">
        <v>269</v>
      </c>
      <c r="C839" t="s">
        <v>3134</v>
      </c>
      <c r="D839" t="s">
        <v>3135</v>
      </c>
      <c r="E839" t="s">
        <v>350</v>
      </c>
      <c r="F839" t="s">
        <v>11</v>
      </c>
      <c r="G839" t="s">
        <v>17</v>
      </c>
      <c r="H839">
        <f>102656*(1.01^10)</f>
        <v>113396.08890621264</v>
      </c>
      <c r="I839">
        <f>591152*(1.01^10)</f>
        <v>652999.57868108456</v>
      </c>
      <c r="J839" t="s">
        <v>3136</v>
      </c>
      <c r="K839">
        <f t="shared" si="13"/>
        <v>1011.7440945181203</v>
      </c>
    </row>
    <row r="840" spans="1:11" x14ac:dyDescent="0.2">
      <c r="A840" t="s">
        <v>2679</v>
      </c>
      <c r="B840" t="s">
        <v>269</v>
      </c>
      <c r="C840" t="s">
        <v>3137</v>
      </c>
      <c r="D840" t="s">
        <v>3138</v>
      </c>
      <c r="E840" t="s">
        <v>2726</v>
      </c>
      <c r="F840" t="s">
        <v>24</v>
      </c>
      <c r="G840" t="s">
        <v>11</v>
      </c>
      <c r="H840">
        <f>94065*(1.01^10)</f>
        <v>103906.28022680497</v>
      </c>
      <c r="I840">
        <f>534090*(1.01^10)</f>
        <v>589967.6309608703</v>
      </c>
      <c r="J840" t="s">
        <v>3139</v>
      </c>
      <c r="K840">
        <f t="shared" si="13"/>
        <v>832.84333476093229</v>
      </c>
    </row>
    <row r="841" spans="1:11" x14ac:dyDescent="0.2">
      <c r="A841" t="s">
        <v>2679</v>
      </c>
      <c r="B841" t="s">
        <v>269</v>
      </c>
      <c r="C841" t="s">
        <v>3141</v>
      </c>
      <c r="D841" t="s">
        <v>3142</v>
      </c>
      <c r="E841" t="s">
        <v>1002</v>
      </c>
      <c r="F841" t="s">
        <v>17</v>
      </c>
      <c r="G841" t="s">
        <v>24</v>
      </c>
      <c r="H841">
        <f>26004*(1.01^10)</f>
        <v>28724.593749192969</v>
      </c>
      <c r="I841">
        <f>146827*(1.01^10)</f>
        <v>162188.35280775095</v>
      </c>
      <c r="J841" t="s">
        <v>3143</v>
      </c>
      <c r="K841">
        <f t="shared" si="13"/>
        <v>320.64586658202796</v>
      </c>
    </row>
    <row r="842" spans="1:11" x14ac:dyDescent="0.2">
      <c r="A842" t="s">
        <v>2679</v>
      </c>
      <c r="B842" t="s">
        <v>2410</v>
      </c>
      <c r="C842" t="s">
        <v>3144</v>
      </c>
      <c r="D842" t="s">
        <v>3145</v>
      </c>
      <c r="E842" t="s">
        <v>2532</v>
      </c>
      <c r="F842" t="s">
        <v>374</v>
      </c>
      <c r="G842" t="s">
        <v>17</v>
      </c>
      <c r="H842">
        <f>120982*(1.01^10)</f>
        <v>133639.39397649837</v>
      </c>
      <c r="I842">
        <f>678838*(1.01^10)</f>
        <v>749859.47436989145</v>
      </c>
      <c r="J842" t="s">
        <v>3146</v>
      </c>
      <c r="K842">
        <f t="shared" si="13"/>
        <v>674.73485452526643</v>
      </c>
    </row>
    <row r="843" spans="1:11" x14ac:dyDescent="0.2">
      <c r="A843" t="s">
        <v>2679</v>
      </c>
      <c r="B843" t="s">
        <v>2410</v>
      </c>
      <c r="C843" t="s">
        <v>3148</v>
      </c>
      <c r="D843" t="s">
        <v>3149</v>
      </c>
      <c r="E843" t="s">
        <v>2534</v>
      </c>
      <c r="F843" t="s">
        <v>16</v>
      </c>
      <c r="G843" t="s">
        <v>6</v>
      </c>
      <c r="H843">
        <f>127215*(1.01^10)</f>
        <v>140524.50368418641</v>
      </c>
      <c r="I843">
        <f>700707*(1.01^10)</f>
        <v>774016.45563050907</v>
      </c>
      <c r="J843" t="s">
        <v>3150</v>
      </c>
      <c r="K843">
        <f t="shared" si="13"/>
        <v>855.58561457137762</v>
      </c>
    </row>
    <row r="844" spans="1:11" x14ac:dyDescent="0.2">
      <c r="A844" t="s">
        <v>2679</v>
      </c>
      <c r="B844" t="s">
        <v>151</v>
      </c>
      <c r="C844" t="s">
        <v>3151</v>
      </c>
      <c r="D844" t="s">
        <v>3152</v>
      </c>
      <c r="E844" t="s">
        <v>982</v>
      </c>
      <c r="F844" t="s">
        <v>152</v>
      </c>
      <c r="G844" t="s">
        <v>12</v>
      </c>
      <c r="H844">
        <f>58219*(1.01^10)</f>
        <v>64309.995519314929</v>
      </c>
      <c r="I844">
        <f>322466*(1.01^10)</f>
        <v>356203.07829284953</v>
      </c>
      <c r="J844" t="s">
        <v>3153</v>
      </c>
      <c r="K844">
        <f t="shared" si="13"/>
        <v>552.39384689160124</v>
      </c>
    </row>
    <row r="845" spans="1:11" x14ac:dyDescent="0.2">
      <c r="A845" t="s">
        <v>2679</v>
      </c>
      <c r="B845" t="s">
        <v>151</v>
      </c>
      <c r="C845" t="s">
        <v>3154</v>
      </c>
      <c r="D845" t="s">
        <v>3155</v>
      </c>
      <c r="E845" t="s">
        <v>2777</v>
      </c>
      <c r="F845" t="s">
        <v>744</v>
      </c>
      <c r="G845" t="s">
        <v>17</v>
      </c>
      <c r="H845">
        <f>51571*(1.01^10)</f>
        <v>56966.467629581239</v>
      </c>
      <c r="I845">
        <f>280186*(1.01^10)</f>
        <v>309499.65483046381</v>
      </c>
      <c r="J845" t="s">
        <v>3156</v>
      </c>
      <c r="K845">
        <f t="shared" si="13"/>
        <v>713.69495710395472</v>
      </c>
    </row>
    <row r="846" spans="1:11" x14ac:dyDescent="0.2">
      <c r="A846" t="s">
        <v>2679</v>
      </c>
      <c r="B846" t="s">
        <v>151</v>
      </c>
      <c r="C846" t="s">
        <v>3157</v>
      </c>
      <c r="D846" t="s">
        <v>3158</v>
      </c>
      <c r="E846" t="s">
        <v>754</v>
      </c>
      <c r="F846" t="s">
        <v>152</v>
      </c>
      <c r="G846" t="s">
        <v>5</v>
      </c>
      <c r="H846">
        <f>98719*(1.01^10)</f>
        <v>109047.19159846872</v>
      </c>
      <c r="I846">
        <f>532513*(1.01^10)</f>
        <v>588225.6418690969</v>
      </c>
      <c r="J846" t="s">
        <v>3159</v>
      </c>
      <c r="K846">
        <f t="shared" si="13"/>
        <v>732.20925581419135</v>
      </c>
    </row>
    <row r="847" spans="1:11" x14ac:dyDescent="0.2">
      <c r="A847" t="s">
        <v>2679</v>
      </c>
      <c r="B847" t="s">
        <v>151</v>
      </c>
      <c r="C847" t="s">
        <v>3160</v>
      </c>
      <c r="D847" t="s">
        <v>3161</v>
      </c>
      <c r="E847" t="s">
        <v>740</v>
      </c>
      <c r="F847" t="s">
        <v>44</v>
      </c>
      <c r="G847" t="s">
        <v>5</v>
      </c>
      <c r="H847">
        <f>70242*(1.01^10)</f>
        <v>77590.86733313385</v>
      </c>
      <c r="I847">
        <f>382265*(1.01^10)</f>
        <v>422258.37677031418</v>
      </c>
      <c r="J847" t="s">
        <v>3162</v>
      </c>
      <c r="K847">
        <f t="shared" si="13"/>
        <v>670.4889296516867</v>
      </c>
    </row>
    <row r="848" spans="1:11" x14ac:dyDescent="0.2">
      <c r="A848" t="s">
        <v>2679</v>
      </c>
      <c r="B848" t="s">
        <v>151</v>
      </c>
      <c r="C848" t="s">
        <v>3163</v>
      </c>
      <c r="D848" t="s">
        <v>3164</v>
      </c>
      <c r="E848" t="s">
        <v>811</v>
      </c>
      <c r="F848" t="s">
        <v>796</v>
      </c>
      <c r="G848" t="s">
        <v>12</v>
      </c>
      <c r="H848">
        <f>51066*(1.01^10)</f>
        <v>56408.633456248579</v>
      </c>
      <c r="I848">
        <f>278754*(1.01^10)</f>
        <v>307917.83594687498</v>
      </c>
      <c r="J848" t="s">
        <v>3165</v>
      </c>
      <c r="K848">
        <f t="shared" si="13"/>
        <v>604.50949259377978</v>
      </c>
    </row>
    <row r="849" spans="1:11" x14ac:dyDescent="0.2">
      <c r="A849" t="s">
        <v>2679</v>
      </c>
      <c r="B849" t="s">
        <v>1401</v>
      </c>
      <c r="C849" t="s">
        <v>3166</v>
      </c>
      <c r="D849" t="s">
        <v>3167</v>
      </c>
      <c r="E849" t="s">
        <v>2421</v>
      </c>
      <c r="F849" t="s">
        <v>619</v>
      </c>
      <c r="G849" t="s">
        <v>11</v>
      </c>
      <c r="H849">
        <f>96756*(1.01^10)</f>
        <v>106878.81836628652</v>
      </c>
      <c r="I849">
        <f>530025*(1.01^10)</f>
        <v>585477.3420210738</v>
      </c>
      <c r="J849" t="s">
        <v>3168</v>
      </c>
      <c r="K849">
        <f t="shared" si="13"/>
        <v>674.452868756268</v>
      </c>
    </row>
    <row r="850" spans="1:11" x14ac:dyDescent="0.2">
      <c r="A850" t="s">
        <v>2679</v>
      </c>
      <c r="B850" t="s">
        <v>1401</v>
      </c>
      <c r="C850" t="s">
        <v>3169</v>
      </c>
      <c r="D850" t="s">
        <v>3170</v>
      </c>
      <c r="E850" t="s">
        <v>2113</v>
      </c>
      <c r="F850" t="s">
        <v>313</v>
      </c>
      <c r="G850" t="s">
        <v>158</v>
      </c>
      <c r="H850">
        <f>655848*(1.01^10)</f>
        <v>724464.21170668781</v>
      </c>
      <c r="I850">
        <f>3470334*(1.01^10)</f>
        <v>3833407.7189667677</v>
      </c>
      <c r="J850" t="s">
        <v>3171</v>
      </c>
      <c r="K850">
        <f t="shared" si="13"/>
        <v>3416.3686113173562</v>
      </c>
    </row>
    <row r="851" spans="1:11" x14ac:dyDescent="0.2">
      <c r="A851" t="s">
        <v>2679</v>
      </c>
      <c r="B851" t="s">
        <v>1401</v>
      </c>
      <c r="C851" t="s">
        <v>3172</v>
      </c>
      <c r="D851" t="s">
        <v>3173</v>
      </c>
      <c r="E851" t="s">
        <v>781</v>
      </c>
      <c r="F851" t="s">
        <v>1340</v>
      </c>
      <c r="G851" t="s">
        <v>12</v>
      </c>
      <c r="H851">
        <f>110734*(1.01^10)</f>
        <v>122319.22643528435</v>
      </c>
      <c r="I851">
        <f>580909*(1.01^10)</f>
        <v>641684.93425049749</v>
      </c>
      <c r="J851" t="s">
        <v>3174</v>
      </c>
      <c r="K851">
        <f t="shared" si="13"/>
        <v>550.87215283065109</v>
      </c>
    </row>
    <row r="852" spans="1:11" x14ac:dyDescent="0.2">
      <c r="A852" t="s">
        <v>2679</v>
      </c>
      <c r="B852" t="s">
        <v>2873</v>
      </c>
      <c r="C852" t="s">
        <v>3175</v>
      </c>
      <c r="D852" t="s">
        <v>3176</v>
      </c>
      <c r="E852" t="s">
        <v>139</v>
      </c>
      <c r="F852" t="s">
        <v>97</v>
      </c>
      <c r="G852" t="s">
        <v>11</v>
      </c>
      <c r="H852">
        <f>56728*(1.01^10)</f>
        <v>62663.00393032682</v>
      </c>
      <c r="I852">
        <f>338320*(1.01^10)</f>
        <v>373715.75746911881</v>
      </c>
      <c r="J852" t="s">
        <v>3177</v>
      </c>
      <c r="K852">
        <f t="shared" si="13"/>
        <v>451.72186199430666</v>
      </c>
    </row>
    <row r="853" spans="1:11" x14ac:dyDescent="0.2">
      <c r="A853" t="s">
        <v>2679</v>
      </c>
      <c r="B853" t="s">
        <v>2873</v>
      </c>
      <c r="C853" t="s">
        <v>3179</v>
      </c>
      <c r="D853" t="s">
        <v>3180</v>
      </c>
      <c r="E853" t="s">
        <v>971</v>
      </c>
      <c r="F853" t="s">
        <v>47</v>
      </c>
      <c r="G853" t="s">
        <v>12</v>
      </c>
      <c r="H853">
        <f>48413*(1.01^10)</f>
        <v>53478.070957532655</v>
      </c>
      <c r="I853">
        <f>283787*(1.01^10)</f>
        <v>313477.39910406957</v>
      </c>
      <c r="J853" t="s">
        <v>3181</v>
      </c>
      <c r="K853">
        <f t="shared" si="13"/>
        <v>459.81860149358772</v>
      </c>
    </row>
    <row r="854" spans="1:11" x14ac:dyDescent="0.2">
      <c r="A854" t="s">
        <v>2679</v>
      </c>
      <c r="B854" t="s">
        <v>2873</v>
      </c>
      <c r="C854" t="s">
        <v>3182</v>
      </c>
      <c r="D854" t="s">
        <v>3183</v>
      </c>
      <c r="E854" t="s">
        <v>444</v>
      </c>
      <c r="F854" t="s">
        <v>789</v>
      </c>
      <c r="G854" t="s">
        <v>17</v>
      </c>
      <c r="H854">
        <f>61624*(1.01^10)</f>
        <v>68071.233856340084</v>
      </c>
      <c r="I854">
        <f>369860*(1.01^10)</f>
        <v>408555.53930458816</v>
      </c>
      <c r="J854" t="s">
        <v>3184</v>
      </c>
      <c r="K854">
        <f t="shared" si="13"/>
        <v>326.2249515238629</v>
      </c>
    </row>
    <row r="855" spans="1:11" x14ac:dyDescent="0.2">
      <c r="A855" t="s">
        <v>2679</v>
      </c>
      <c r="B855" t="s">
        <v>2873</v>
      </c>
      <c r="C855" t="s">
        <v>3185</v>
      </c>
      <c r="D855" t="s">
        <v>3186</v>
      </c>
      <c r="E855" t="s">
        <v>555</v>
      </c>
      <c r="F855" t="s">
        <v>220</v>
      </c>
      <c r="G855" t="s">
        <v>17</v>
      </c>
      <c r="H855">
        <f>69716*(1.01^10)</f>
        <v>77009.836095167557</v>
      </c>
      <c r="I855">
        <f>396782*(1.01^10)</f>
        <v>438294.17616490863</v>
      </c>
      <c r="J855" t="s">
        <v>3187</v>
      </c>
      <c r="K855">
        <f t="shared" si="13"/>
        <v>472.60560815702917</v>
      </c>
    </row>
    <row r="856" spans="1:11" x14ac:dyDescent="0.2">
      <c r="A856" t="s">
        <v>2679</v>
      </c>
      <c r="B856" t="s">
        <v>2873</v>
      </c>
      <c r="C856" t="s">
        <v>3188</v>
      </c>
      <c r="D856" t="s">
        <v>3189</v>
      </c>
      <c r="E856" t="s">
        <v>856</v>
      </c>
      <c r="F856" t="s">
        <v>137</v>
      </c>
      <c r="G856" t="s">
        <v>17</v>
      </c>
      <c r="H856">
        <f>51857*(1.01^10)</f>
        <v>57282.389557448842</v>
      </c>
      <c r="I856">
        <f>301225*(1.01^10)</f>
        <v>332739.79972699017</v>
      </c>
      <c r="J856" t="s">
        <v>3190</v>
      </c>
      <c r="K856">
        <f t="shared" si="13"/>
        <v>379.7675509324539</v>
      </c>
    </row>
    <row r="857" spans="1:11" x14ac:dyDescent="0.2">
      <c r="A857" t="s">
        <v>2679</v>
      </c>
      <c r="B857" t="s">
        <v>310</v>
      </c>
      <c r="C857" t="s">
        <v>3191</v>
      </c>
      <c r="D857" t="s">
        <v>3192</v>
      </c>
      <c r="E857" t="s">
        <v>2603</v>
      </c>
      <c r="F857" t="s">
        <v>374</v>
      </c>
      <c r="G857" t="s">
        <v>11</v>
      </c>
      <c r="H857">
        <f>55845*(1.01^10)</f>
        <v>61687.622593588727</v>
      </c>
      <c r="I857">
        <f>308007*(1.01^10)</f>
        <v>340231.34698152891</v>
      </c>
      <c r="J857" t="s">
        <v>3193</v>
      </c>
      <c r="K857">
        <f t="shared" si="13"/>
        <v>425.91772239202948</v>
      </c>
    </row>
    <row r="858" spans="1:11" x14ac:dyDescent="0.2">
      <c r="A858" t="s">
        <v>2679</v>
      </c>
      <c r="B858" t="s">
        <v>310</v>
      </c>
      <c r="C858" t="s">
        <v>3194</v>
      </c>
      <c r="D858" t="s">
        <v>3195</v>
      </c>
      <c r="E858" t="s">
        <v>771</v>
      </c>
      <c r="F858" t="s">
        <v>44</v>
      </c>
      <c r="G858" t="s">
        <v>11</v>
      </c>
      <c r="H858">
        <f>42747*(1.01^10)</f>
        <v>47219.281994952769</v>
      </c>
      <c r="I858">
        <f>233688*(1.01^10)</f>
        <v>258136.93524309361</v>
      </c>
      <c r="J858" t="s">
        <v>3196</v>
      </c>
      <c r="K858">
        <f t="shared" si="13"/>
        <v>246.49429500042726</v>
      </c>
    </row>
    <row r="859" spans="1:11" x14ac:dyDescent="0.2">
      <c r="A859" t="s">
        <v>2679</v>
      </c>
      <c r="B859" t="s">
        <v>310</v>
      </c>
      <c r="C859" t="s">
        <v>3197</v>
      </c>
      <c r="D859" t="s">
        <v>3198</v>
      </c>
      <c r="E859" t="s">
        <v>58</v>
      </c>
      <c r="F859" t="s">
        <v>445</v>
      </c>
      <c r="G859" t="s">
        <v>12</v>
      </c>
      <c r="H859">
        <f>33611*(1.01^10)</f>
        <v>37127.454257196005</v>
      </c>
      <c r="I859">
        <f>177754*(1.01^10)</f>
        <v>196351.00128034328</v>
      </c>
      <c r="J859" t="s">
        <v>3199</v>
      </c>
      <c r="K859">
        <f t="shared" si="13"/>
        <v>223.00666376855708</v>
      </c>
    </row>
    <row r="860" spans="1:11" x14ac:dyDescent="0.2">
      <c r="A860" t="s">
        <v>2679</v>
      </c>
      <c r="B860" t="s">
        <v>310</v>
      </c>
      <c r="C860" t="s">
        <v>3200</v>
      </c>
      <c r="D860" t="s">
        <v>3201</v>
      </c>
      <c r="E860" t="s">
        <v>1282</v>
      </c>
      <c r="F860" t="s">
        <v>92</v>
      </c>
      <c r="G860" t="s">
        <v>5</v>
      </c>
      <c r="H860">
        <f>72232*(1.01^10)</f>
        <v>79789.065362702138</v>
      </c>
      <c r="I860">
        <f>393994*(1.01^10)</f>
        <v>435214.48967926222</v>
      </c>
      <c r="J860" t="s">
        <v>3202</v>
      </c>
      <c r="K860">
        <f t="shared" si="13"/>
        <v>391.3283174726181</v>
      </c>
    </row>
    <row r="861" spans="1:11" x14ac:dyDescent="0.2">
      <c r="A861" t="s">
        <v>2679</v>
      </c>
      <c r="B861" t="s">
        <v>310</v>
      </c>
      <c r="C861" t="s">
        <v>3203</v>
      </c>
      <c r="D861" t="s">
        <v>3204</v>
      </c>
      <c r="E861" t="s">
        <v>679</v>
      </c>
      <c r="F861" t="s">
        <v>12</v>
      </c>
      <c r="G861" t="s">
        <v>152</v>
      </c>
      <c r="H861">
        <f>163344*(1.01^10)</f>
        <v>180433.39645316784</v>
      </c>
      <c r="I861">
        <f>885160*(1.01^10)</f>
        <v>977767.32052898197</v>
      </c>
      <c r="J861" t="s">
        <v>3205</v>
      </c>
      <c r="K861">
        <f t="shared" si="13"/>
        <v>824.88951427418328</v>
      </c>
    </row>
    <row r="862" spans="1:11" x14ac:dyDescent="0.2">
      <c r="A862" t="s">
        <v>2679</v>
      </c>
      <c r="B862" t="s">
        <v>806</v>
      </c>
      <c r="C862" t="s">
        <v>3206</v>
      </c>
      <c r="D862" t="s">
        <v>3207</v>
      </c>
      <c r="E862" t="s">
        <v>2410</v>
      </c>
      <c r="F862" t="s">
        <v>92</v>
      </c>
      <c r="G862" t="s">
        <v>17</v>
      </c>
      <c r="H862">
        <f>58963*(1.01^10)</f>
        <v>65131.834380620865</v>
      </c>
      <c r="I862">
        <f>308850*(1.01^10)</f>
        <v>341162.54343325057</v>
      </c>
      <c r="J862" t="s">
        <v>3208</v>
      </c>
      <c r="K862">
        <f t="shared" si="13"/>
        <v>285.09904839113346</v>
      </c>
    </row>
    <row r="863" spans="1:11" x14ac:dyDescent="0.2">
      <c r="A863" t="s">
        <v>2679</v>
      </c>
      <c r="B863" t="s">
        <v>806</v>
      </c>
      <c r="C863" t="s">
        <v>3209</v>
      </c>
      <c r="D863" t="s">
        <v>3210</v>
      </c>
      <c r="E863" t="s">
        <v>118</v>
      </c>
      <c r="F863" t="s">
        <v>796</v>
      </c>
      <c r="G863" t="s">
        <v>17</v>
      </c>
      <c r="H863">
        <f>90113*(1.01^10)</f>
        <v>99540.813587179888</v>
      </c>
      <c r="I863">
        <f>503187*(1.01^10)</f>
        <v>555831.49341928784</v>
      </c>
      <c r="J863" t="s">
        <v>3211</v>
      </c>
      <c r="K863">
        <f t="shared" si="13"/>
        <v>303.08076390918006</v>
      </c>
    </row>
    <row r="864" spans="1:11" x14ac:dyDescent="0.2">
      <c r="A864" t="s">
        <v>2679</v>
      </c>
      <c r="B864" t="s">
        <v>806</v>
      </c>
      <c r="C864" t="s">
        <v>3212</v>
      </c>
      <c r="D864" t="s">
        <v>3213</v>
      </c>
      <c r="E864" t="s">
        <v>1498</v>
      </c>
      <c r="F864" t="s">
        <v>520</v>
      </c>
      <c r="G864" t="s">
        <v>17</v>
      </c>
      <c r="H864">
        <f>73018*(1.01^10)</f>
        <v>80657.298353275342</v>
      </c>
      <c r="I864">
        <f>409555*(1.01^10)</f>
        <v>452403.51457278593</v>
      </c>
      <c r="J864" t="s">
        <v>3214</v>
      </c>
      <c r="K864">
        <f t="shared" si="13"/>
        <v>225.25451501132275</v>
      </c>
    </row>
    <row r="865" spans="1:11" x14ac:dyDescent="0.2">
      <c r="A865" t="s">
        <v>2679</v>
      </c>
      <c r="B865" t="s">
        <v>3215</v>
      </c>
      <c r="C865" t="s">
        <v>3216</v>
      </c>
      <c r="D865" t="s">
        <v>646</v>
      </c>
      <c r="E865" t="s">
        <v>1282</v>
      </c>
      <c r="F865" t="s">
        <v>333</v>
      </c>
      <c r="G865" t="s">
        <v>11</v>
      </c>
      <c r="H865">
        <f>68440*(1.01^10)</f>
        <v>75600.338263142854</v>
      </c>
      <c r="I865">
        <f>364464*(1.01^10)</f>
        <v>402594.99831586931</v>
      </c>
      <c r="J865" t="s">
        <v>3217</v>
      </c>
      <c r="K865">
        <f t="shared" si="13"/>
        <v>364.23017159718319</v>
      </c>
    </row>
    <row r="866" spans="1:11" x14ac:dyDescent="0.2">
      <c r="A866" t="s">
        <v>2679</v>
      </c>
      <c r="B866" t="s">
        <v>3215</v>
      </c>
      <c r="C866" t="s">
        <v>3218</v>
      </c>
      <c r="D866" t="s">
        <v>3219</v>
      </c>
      <c r="E866" t="s">
        <v>489</v>
      </c>
      <c r="F866" t="s">
        <v>1506</v>
      </c>
      <c r="G866" t="s">
        <v>12</v>
      </c>
      <c r="H866">
        <f>41033*(1.01^10)</f>
        <v>45325.959671997967</v>
      </c>
      <c r="I866">
        <f>218981*(1.01^10)</f>
        <v>241891.25764467102</v>
      </c>
      <c r="J866" t="s">
        <v>3220</v>
      </c>
      <c r="K866">
        <f t="shared" si="13"/>
        <v>316.95935008265127</v>
      </c>
    </row>
    <row r="867" spans="1:11" x14ac:dyDescent="0.2">
      <c r="A867" t="s">
        <v>2679</v>
      </c>
      <c r="B867" t="s">
        <v>3215</v>
      </c>
      <c r="C867" t="s">
        <v>3222</v>
      </c>
      <c r="D867" t="s">
        <v>3223</v>
      </c>
      <c r="E867" t="s">
        <v>148</v>
      </c>
      <c r="F867" t="s">
        <v>796</v>
      </c>
      <c r="G867" t="s">
        <v>17</v>
      </c>
      <c r="H867">
        <f>31436*(1.01^10)</f>
        <v>34724.901134426633</v>
      </c>
      <c r="I867">
        <f>169677*(1.01^10)</f>
        <v>187428.96837339699</v>
      </c>
      <c r="J867" t="s">
        <v>3224</v>
      </c>
      <c r="K867">
        <f t="shared" si="13"/>
        <v>205.0965897696654</v>
      </c>
    </row>
    <row r="868" spans="1:11" x14ac:dyDescent="0.2">
      <c r="A868" t="s">
        <v>2679</v>
      </c>
      <c r="B868" t="s">
        <v>3215</v>
      </c>
      <c r="C868" t="s">
        <v>3225</v>
      </c>
      <c r="D868" t="s">
        <v>3226</v>
      </c>
      <c r="E868" t="s">
        <v>328</v>
      </c>
      <c r="F868" t="s">
        <v>313</v>
      </c>
      <c r="G868" t="s">
        <v>12</v>
      </c>
      <c r="H868">
        <f>63954*(1.01^10)</f>
        <v>70645.003408548189</v>
      </c>
      <c r="I868">
        <f>351163*(1.01^10)</f>
        <v>387902.41942577489</v>
      </c>
      <c r="J868" t="s">
        <v>3227</v>
      </c>
      <c r="K868">
        <f t="shared" si="13"/>
        <v>313.16521797840824</v>
      </c>
    </row>
    <row r="869" spans="1:11" x14ac:dyDescent="0.2">
      <c r="A869" t="s">
        <v>2679</v>
      </c>
      <c r="B869" t="s">
        <v>1115</v>
      </c>
      <c r="C869" t="s">
        <v>3228</v>
      </c>
      <c r="D869" t="s">
        <v>3229</v>
      </c>
      <c r="E869" t="s">
        <v>698</v>
      </c>
      <c r="F869" t="s">
        <v>789</v>
      </c>
      <c r="G869" t="s">
        <v>12</v>
      </c>
      <c r="H869">
        <f>60282*(1.01^10)</f>
        <v>66588.83096403825</v>
      </c>
      <c r="I869">
        <f>336968*(1.01^10)</f>
        <v>372222.30835556285</v>
      </c>
      <c r="J869" t="s">
        <v>3230</v>
      </c>
      <c r="K869">
        <f t="shared" si="13"/>
        <v>316.43594022870616</v>
      </c>
    </row>
    <row r="870" spans="1:11" x14ac:dyDescent="0.2">
      <c r="A870" t="s">
        <v>2679</v>
      </c>
      <c r="B870" t="s">
        <v>1115</v>
      </c>
      <c r="C870" t="s">
        <v>3232</v>
      </c>
      <c r="D870" t="s">
        <v>3233</v>
      </c>
      <c r="E870" t="s">
        <v>1101</v>
      </c>
      <c r="F870" t="s">
        <v>97</v>
      </c>
      <c r="G870" t="s">
        <v>17</v>
      </c>
      <c r="H870">
        <f>29273*(1.01^10)</f>
        <v>32335.603477162196</v>
      </c>
      <c r="I870">
        <f>155407*(1.01^10)</f>
        <v>171666.0106437791</v>
      </c>
      <c r="J870" t="s">
        <v>3234</v>
      </c>
      <c r="K870">
        <f t="shared" si="13"/>
        <v>219.54406352940589</v>
      </c>
    </row>
    <row r="871" spans="1:11" x14ac:dyDescent="0.2">
      <c r="A871" t="s">
        <v>2679</v>
      </c>
      <c r="B871" t="s">
        <v>1115</v>
      </c>
      <c r="C871" t="s">
        <v>3235</v>
      </c>
      <c r="D871" t="s">
        <v>3236</v>
      </c>
      <c r="E871" t="s">
        <v>1010</v>
      </c>
      <c r="F871" t="s">
        <v>152</v>
      </c>
      <c r="G871" t="s">
        <v>17</v>
      </c>
      <c r="H871">
        <f>68880*(1.01^10)</f>
        <v>76086.371998323782</v>
      </c>
      <c r="I871">
        <f>383583*(1.01^10)</f>
        <v>423714.26873160613</v>
      </c>
      <c r="J871" t="s">
        <v>3237</v>
      </c>
      <c r="K871">
        <f t="shared" si="13"/>
        <v>357.32768105407388</v>
      </c>
    </row>
    <row r="872" spans="1:11" x14ac:dyDescent="0.2">
      <c r="A872" t="s">
        <v>2679</v>
      </c>
      <c r="B872" t="s">
        <v>982</v>
      </c>
      <c r="C872" t="s">
        <v>3239</v>
      </c>
      <c r="D872" t="s">
        <v>3240</v>
      </c>
      <c r="E872" t="s">
        <v>284</v>
      </c>
      <c r="F872" t="s">
        <v>458</v>
      </c>
      <c r="G872" t="s">
        <v>11</v>
      </c>
      <c r="H872">
        <f>117936*(1.01^10)</f>
        <v>130274.71498249585</v>
      </c>
      <c r="I872">
        <f>664064*(1.01^10)</f>
        <v>733539.78708906623</v>
      </c>
      <c r="J872" t="s">
        <v>3241</v>
      </c>
      <c r="K872">
        <f t="shared" si="13"/>
        <v>458.45389386535891</v>
      </c>
    </row>
    <row r="873" spans="1:11" x14ac:dyDescent="0.2">
      <c r="A873" t="s">
        <v>2679</v>
      </c>
      <c r="B873" t="s">
        <v>982</v>
      </c>
      <c r="C873" t="s">
        <v>3243</v>
      </c>
      <c r="D873" t="s">
        <v>3244</v>
      </c>
      <c r="E873" t="s">
        <v>1227</v>
      </c>
      <c r="F873" t="s">
        <v>158</v>
      </c>
      <c r="G873" t="s">
        <v>12</v>
      </c>
      <c r="H873">
        <f>81791*(1.01^10)</f>
        <v>90348.148259507841</v>
      </c>
      <c r="I873">
        <f>479025*(1.01^10)</f>
        <v>529141.61362510233</v>
      </c>
      <c r="J873" t="s">
        <v>3245</v>
      </c>
      <c r="K873">
        <f t="shared" si="13"/>
        <v>410.77089497215803</v>
      </c>
    </row>
    <row r="874" spans="1:11" x14ac:dyDescent="0.2">
      <c r="A874" t="s">
        <v>2679</v>
      </c>
      <c r="B874" t="s">
        <v>982</v>
      </c>
      <c r="C874" t="s">
        <v>3246</v>
      </c>
      <c r="D874" t="s">
        <v>3247</v>
      </c>
      <c r="E874" t="s">
        <v>28</v>
      </c>
      <c r="F874" t="s">
        <v>158</v>
      </c>
      <c r="G874" t="s">
        <v>11</v>
      </c>
      <c r="H874">
        <f>64695*(1.01^10)</f>
        <v>71463.528403477889</v>
      </c>
      <c r="I874">
        <f>360838*(1.01^10)</f>
        <v>398589.63848912832</v>
      </c>
      <c r="J874" t="s">
        <v>3248</v>
      </c>
      <c r="K874">
        <f t="shared" si="13"/>
        <v>527.65592759603885</v>
      </c>
    </row>
    <row r="875" spans="1:11" x14ac:dyDescent="0.2">
      <c r="A875" t="s">
        <v>2679</v>
      </c>
      <c r="B875" t="s">
        <v>982</v>
      </c>
      <c r="C875" t="s">
        <v>3249</v>
      </c>
      <c r="D875" t="s">
        <v>3250</v>
      </c>
      <c r="E875" t="s">
        <v>676</v>
      </c>
      <c r="F875" t="s">
        <v>382</v>
      </c>
      <c r="G875" t="s">
        <v>12</v>
      </c>
      <c r="H875">
        <f>55541*(1.01^10)</f>
        <v>61351.817467463719</v>
      </c>
      <c r="I875">
        <f>295483*(1.01^10)</f>
        <v>326397.05948287901</v>
      </c>
      <c r="J875" t="s">
        <v>3251</v>
      </c>
      <c r="K875">
        <f t="shared" si="13"/>
        <v>426.99157309552663</v>
      </c>
    </row>
    <row r="876" spans="1:11" x14ac:dyDescent="0.2">
      <c r="A876" t="s">
        <v>2679</v>
      </c>
      <c r="B876" t="s">
        <v>809</v>
      </c>
      <c r="C876" t="s">
        <v>3252</v>
      </c>
      <c r="D876" t="s">
        <v>3253</v>
      </c>
      <c r="E876" t="s">
        <v>926</v>
      </c>
      <c r="F876" t="s">
        <v>1580</v>
      </c>
      <c r="G876" t="s">
        <v>11</v>
      </c>
      <c r="H876">
        <f>121398*(1.01^10)</f>
        <v>134098.91678066945</v>
      </c>
      <c r="I876">
        <f>709972*(1.01^10)</f>
        <v>784250.77962244384</v>
      </c>
      <c r="J876" t="s">
        <v>3254</v>
      </c>
      <c r="K876">
        <f t="shared" si="13"/>
        <v>328.18835918181907</v>
      </c>
    </row>
    <row r="877" spans="1:11" x14ac:dyDescent="0.2">
      <c r="A877" t="s">
        <v>2679</v>
      </c>
      <c r="B877" t="s">
        <v>809</v>
      </c>
      <c r="C877" t="s">
        <v>3255</v>
      </c>
      <c r="D877" t="s">
        <v>3256</v>
      </c>
      <c r="E877" t="s">
        <v>676</v>
      </c>
      <c r="F877" t="s">
        <v>829</v>
      </c>
      <c r="G877" t="s">
        <v>12</v>
      </c>
      <c r="H877">
        <f>46834*(1.01^10)</f>
        <v>51733.872621508366</v>
      </c>
      <c r="I877">
        <f>281758*(1.01^10)</f>
        <v>311236.12081161025</v>
      </c>
      <c r="J877" t="s">
        <v>3257</v>
      </c>
      <c r="K877">
        <f t="shared" si="13"/>
        <v>376.63119391898925</v>
      </c>
    </row>
    <row r="878" spans="1:11" x14ac:dyDescent="0.2">
      <c r="A878" t="s">
        <v>2679</v>
      </c>
      <c r="B878" t="s">
        <v>347</v>
      </c>
      <c r="C878" t="s">
        <v>3258</v>
      </c>
      <c r="D878" t="s">
        <v>3259</v>
      </c>
      <c r="E878" t="s">
        <v>511</v>
      </c>
      <c r="F878" t="s">
        <v>220</v>
      </c>
      <c r="G878" t="s">
        <v>17</v>
      </c>
      <c r="H878">
        <f>137697*(1.01^10)</f>
        <v>152103.15280274666</v>
      </c>
      <c r="I878">
        <f>749645*(1.01^10)</f>
        <v>828074.45320388256</v>
      </c>
      <c r="J878" t="s">
        <v>3260</v>
      </c>
      <c r="K878">
        <f t="shared" si="13"/>
        <v>642.38381331126277</v>
      </c>
    </row>
    <row r="879" spans="1:11" x14ac:dyDescent="0.2">
      <c r="A879" t="s">
        <v>2679</v>
      </c>
      <c r="B879" t="s">
        <v>347</v>
      </c>
      <c r="C879" t="s">
        <v>3262</v>
      </c>
      <c r="D879" t="s">
        <v>440</v>
      </c>
      <c r="E879" t="s">
        <v>1522</v>
      </c>
      <c r="F879" t="s">
        <v>126</v>
      </c>
      <c r="G879" t="s">
        <v>17</v>
      </c>
      <c r="H879">
        <f>196757*(1.01^10)</f>
        <v>217342.13552953242</v>
      </c>
      <c r="I879">
        <f>1096453*(1.01^10)</f>
        <v>1211166.2432734917</v>
      </c>
      <c r="J879" t="s">
        <v>3263</v>
      </c>
      <c r="K879">
        <f t="shared" si="13"/>
        <v>742.05765422961952</v>
      </c>
    </row>
    <row r="880" spans="1:11" x14ac:dyDescent="0.2">
      <c r="A880" t="s">
        <v>2679</v>
      </c>
      <c r="B880" t="s">
        <v>347</v>
      </c>
      <c r="C880" t="s">
        <v>3264</v>
      </c>
      <c r="D880" t="s">
        <v>3265</v>
      </c>
      <c r="E880" t="s">
        <v>1709</v>
      </c>
      <c r="F880" t="s">
        <v>253</v>
      </c>
      <c r="G880" t="s">
        <v>11</v>
      </c>
      <c r="H880">
        <f>137784*(1.01^10)</f>
        <v>152199.25492765743</v>
      </c>
      <c r="I880">
        <f>786635*(1.01^10)</f>
        <v>868934.42562284309</v>
      </c>
      <c r="J880" t="s">
        <v>3266</v>
      </c>
      <c r="K880">
        <f t="shared" si="13"/>
        <v>706.01486738867584</v>
      </c>
    </row>
    <row r="881" spans="1:11" x14ac:dyDescent="0.2">
      <c r="A881" t="s">
        <v>2679</v>
      </c>
      <c r="B881" t="s">
        <v>407</v>
      </c>
      <c r="C881" t="s">
        <v>3268</v>
      </c>
      <c r="D881" t="s">
        <v>3093</v>
      </c>
      <c r="E881" t="s">
        <v>3269</v>
      </c>
      <c r="F881" t="s">
        <v>5</v>
      </c>
      <c r="G881" t="s">
        <v>24</v>
      </c>
      <c r="H881">
        <f>106274*(1.01^10)</f>
        <v>117392.61175595038</v>
      </c>
      <c r="I881">
        <f>610526*(1.01^10)</f>
        <v>674400.5277388012</v>
      </c>
      <c r="J881" t="s">
        <v>3270</v>
      </c>
      <c r="K881">
        <f t="shared" si="13"/>
        <v>824.27563860040334</v>
      </c>
    </row>
    <row r="882" spans="1:11" x14ac:dyDescent="0.2">
      <c r="A882" t="s">
        <v>2679</v>
      </c>
      <c r="B882" t="s">
        <v>407</v>
      </c>
      <c r="C882" t="s">
        <v>3271</v>
      </c>
      <c r="D882" t="s">
        <v>3272</v>
      </c>
      <c r="E882" t="s">
        <v>2014</v>
      </c>
      <c r="F882" t="s">
        <v>445</v>
      </c>
      <c r="G882" t="s">
        <v>17</v>
      </c>
      <c r="H882">
        <f>160497*(1.01^10)</f>
        <v>177288.53726212212</v>
      </c>
      <c r="I882">
        <f>910447*(1.01^10)</f>
        <v>1005699.9002142551</v>
      </c>
      <c r="J882" t="s">
        <v>3273</v>
      </c>
      <c r="K882">
        <f t="shared" si="13"/>
        <v>938.64688054690919</v>
      </c>
    </row>
    <row r="883" spans="1:11" x14ac:dyDescent="0.2">
      <c r="A883" t="s">
        <v>2679</v>
      </c>
      <c r="B883" t="s">
        <v>407</v>
      </c>
      <c r="C883" t="s">
        <v>3274</v>
      </c>
      <c r="D883" t="s">
        <v>2674</v>
      </c>
      <c r="E883" t="s">
        <v>955</v>
      </c>
      <c r="F883" t="s">
        <v>5</v>
      </c>
      <c r="G883" t="s">
        <v>158</v>
      </c>
      <c r="H883">
        <f>106092*(1.01^10)</f>
        <v>117191.57052912553</v>
      </c>
      <c r="I883">
        <f>640208*(1.01^10)</f>
        <v>707187.92166525661</v>
      </c>
      <c r="J883" t="s">
        <v>3275</v>
      </c>
      <c r="K883">
        <f t="shared" si="13"/>
        <v>1103.1763014055114</v>
      </c>
    </row>
    <row r="884" spans="1:11" x14ac:dyDescent="0.2">
      <c r="A884" t="s">
        <v>2679</v>
      </c>
      <c r="B884" t="s">
        <v>407</v>
      </c>
      <c r="C884" t="s">
        <v>3276</v>
      </c>
      <c r="D884" t="s">
        <v>3277</v>
      </c>
      <c r="E884" t="s">
        <v>53</v>
      </c>
      <c r="F884" t="s">
        <v>6</v>
      </c>
      <c r="G884" t="s">
        <v>12</v>
      </c>
      <c r="H884">
        <f>94027*(1.01^10)</f>
        <v>103864.30458603935</v>
      </c>
      <c r="I884">
        <f>610548*(1.01^10)</f>
        <v>674424.82942556019</v>
      </c>
      <c r="J884" t="s">
        <v>3278</v>
      </c>
      <c r="K884">
        <f t="shared" si="13"/>
        <v>1014.5584298775619</v>
      </c>
    </row>
    <row r="885" spans="1:11" x14ac:dyDescent="0.2">
      <c r="A885" t="s">
        <v>2679</v>
      </c>
      <c r="B885" t="s">
        <v>407</v>
      </c>
      <c r="C885" t="s">
        <v>3279</v>
      </c>
      <c r="D885" t="s">
        <v>3280</v>
      </c>
      <c r="E885" t="s">
        <v>577</v>
      </c>
      <c r="F885" t="s">
        <v>12</v>
      </c>
      <c r="G885" t="s">
        <v>24</v>
      </c>
      <c r="H885">
        <f>66656*(1.01^10)</f>
        <v>73629.692391409262</v>
      </c>
      <c r="I885">
        <f>437412*(1.01^10)</f>
        <v>483174.97312036587</v>
      </c>
      <c r="J885" t="s">
        <v>3281</v>
      </c>
      <c r="K885">
        <f t="shared" si="13"/>
        <v>926.3327152301423</v>
      </c>
    </row>
    <row r="886" spans="1:11" x14ac:dyDescent="0.2">
      <c r="A886" t="s">
        <v>2679</v>
      </c>
      <c r="B886" t="s">
        <v>705</v>
      </c>
      <c r="C886" t="s">
        <v>3282</v>
      </c>
      <c r="D886" t="s">
        <v>3283</v>
      </c>
      <c r="E886" t="s">
        <v>591</v>
      </c>
      <c r="F886" t="s">
        <v>333</v>
      </c>
      <c r="G886" t="s">
        <v>17</v>
      </c>
      <c r="H886">
        <f>88424*(1.01^10)</f>
        <v>97675.106817360371</v>
      </c>
      <c r="I886">
        <f>514973*(1.01^10)</f>
        <v>568850.56978938438</v>
      </c>
      <c r="J886" t="s">
        <v>3284</v>
      </c>
      <c r="K886">
        <f t="shared" si="13"/>
        <v>965.28105843541539</v>
      </c>
    </row>
    <row r="887" spans="1:11" x14ac:dyDescent="0.2">
      <c r="A887" t="s">
        <v>2679</v>
      </c>
      <c r="B887" t="s">
        <v>705</v>
      </c>
      <c r="C887" t="s">
        <v>3285</v>
      </c>
      <c r="D887" t="s">
        <v>3286</v>
      </c>
      <c r="E887" t="s">
        <v>754</v>
      </c>
      <c r="F887" t="s">
        <v>764</v>
      </c>
      <c r="G887" t="s">
        <v>17</v>
      </c>
      <c r="H887">
        <f>98531*(1.01^10)</f>
        <v>108839.52263889142</v>
      </c>
      <c r="I887">
        <f>563415*(1.01^10)</f>
        <v>622360.67478855397</v>
      </c>
      <c r="J887" t="s">
        <v>3287</v>
      </c>
      <c r="K887">
        <f t="shared" si="13"/>
        <v>899.53623053164574</v>
      </c>
    </row>
    <row r="888" spans="1:11" x14ac:dyDescent="0.2">
      <c r="A888" t="s">
        <v>2679</v>
      </c>
      <c r="B888" t="s">
        <v>705</v>
      </c>
      <c r="C888" t="s">
        <v>3288</v>
      </c>
      <c r="D888" t="s">
        <v>3289</v>
      </c>
      <c r="E888" t="s">
        <v>507</v>
      </c>
      <c r="F888" t="s">
        <v>333</v>
      </c>
      <c r="G888" t="s">
        <v>92</v>
      </c>
      <c r="H888">
        <f>90896*(1.01^10)</f>
        <v>100405.73271137687</v>
      </c>
      <c r="I888">
        <f>521208*(1.01^10)</f>
        <v>575737.88874132326</v>
      </c>
      <c r="J888" t="s">
        <v>3290</v>
      </c>
      <c r="K888">
        <f t="shared" si="13"/>
        <v>1156.5229774767824</v>
      </c>
    </row>
    <row r="889" spans="1:11" x14ac:dyDescent="0.2">
      <c r="A889" t="s">
        <v>2679</v>
      </c>
      <c r="B889" t="s">
        <v>676</v>
      </c>
      <c r="C889" t="s">
        <v>3291</v>
      </c>
      <c r="D889" t="s">
        <v>3292</v>
      </c>
      <c r="E889" t="s">
        <v>460</v>
      </c>
      <c r="F889" t="s">
        <v>16</v>
      </c>
      <c r="G889" t="s">
        <v>11</v>
      </c>
      <c r="H889">
        <f>136863*(1.01^10)</f>
        <v>151181.89795015371</v>
      </c>
      <c r="I889">
        <f>823190*(1.01^10)</f>
        <v>909313.88741724961</v>
      </c>
      <c r="J889" t="s">
        <v>3293</v>
      </c>
      <c r="K889">
        <f t="shared" si="13"/>
        <v>1357.4469134914218</v>
      </c>
    </row>
    <row r="890" spans="1:11" x14ac:dyDescent="0.2">
      <c r="A890" t="s">
        <v>2679</v>
      </c>
      <c r="B890" t="s">
        <v>676</v>
      </c>
      <c r="C890" t="s">
        <v>3294</v>
      </c>
      <c r="D890" t="s">
        <v>3295</v>
      </c>
      <c r="E890" t="s">
        <v>3296</v>
      </c>
      <c r="F890" t="s">
        <v>164</v>
      </c>
      <c r="G890" t="s">
        <v>92</v>
      </c>
      <c r="H890">
        <f>135991*(1.01^10)</f>
        <v>150218.66745679514</v>
      </c>
      <c r="I890">
        <f>859421*(1.01^10)</f>
        <v>949335.45164302294</v>
      </c>
      <c r="J890" t="s">
        <v>3297</v>
      </c>
      <c r="K890">
        <f t="shared" si="13"/>
        <v>1275.8258802553114</v>
      </c>
    </row>
    <row r="891" spans="1:11" x14ac:dyDescent="0.2">
      <c r="A891" t="s">
        <v>2679</v>
      </c>
      <c r="B891" t="s">
        <v>676</v>
      </c>
      <c r="C891" t="s">
        <v>3299</v>
      </c>
      <c r="D891" t="s">
        <v>3300</v>
      </c>
      <c r="E891" t="s">
        <v>879</v>
      </c>
      <c r="F891" t="s">
        <v>318</v>
      </c>
      <c r="G891" t="s">
        <v>5</v>
      </c>
      <c r="H891">
        <f>248662*(1.01^10)</f>
        <v>274677.54694900097</v>
      </c>
      <c r="I891">
        <f>1395816*(1.01^10)</f>
        <v>1541849.2366029662</v>
      </c>
      <c r="J891" t="s">
        <v>3301</v>
      </c>
      <c r="K891">
        <f t="shared" si="13"/>
        <v>5048.0581632738749</v>
      </c>
    </row>
    <row r="892" spans="1:11" x14ac:dyDescent="0.2">
      <c r="A892" t="s">
        <v>2679</v>
      </c>
      <c r="B892" t="s">
        <v>676</v>
      </c>
      <c r="C892" t="s">
        <v>3302</v>
      </c>
      <c r="D892" t="s">
        <v>3303</v>
      </c>
      <c r="E892" t="s">
        <v>3304</v>
      </c>
      <c r="F892" t="s">
        <v>220</v>
      </c>
      <c r="G892" t="s">
        <v>11</v>
      </c>
      <c r="H892">
        <f>65850*(1.01^10)</f>
        <v>72739.366958327839</v>
      </c>
      <c r="I892">
        <f>365605*(1.01^10)</f>
        <v>403855.37216096354</v>
      </c>
      <c r="J892" t="s">
        <v>3305</v>
      </c>
      <c r="K892">
        <f t="shared" si="13"/>
        <v>541.93580428179212</v>
      </c>
    </row>
    <row r="893" spans="1:11" x14ac:dyDescent="0.2">
      <c r="A893" t="s">
        <v>2679</v>
      </c>
      <c r="B893" t="s">
        <v>676</v>
      </c>
      <c r="C893" t="s">
        <v>3306</v>
      </c>
      <c r="D893" t="s">
        <v>3307</v>
      </c>
      <c r="E893" t="s">
        <v>3308</v>
      </c>
      <c r="F893" t="s">
        <v>1656</v>
      </c>
      <c r="G893" t="s">
        <v>158</v>
      </c>
      <c r="H893">
        <f>95034*(1.01^10)</f>
        <v>104976.65906632843</v>
      </c>
      <c r="I893">
        <f>606924*(1.01^10)</f>
        <v>670421.67884307005</v>
      </c>
      <c r="J893" t="s">
        <v>3309</v>
      </c>
      <c r="K893">
        <f t="shared" si="13"/>
        <v>1135.740117463723</v>
      </c>
    </row>
    <row r="894" spans="1:11" x14ac:dyDescent="0.2">
      <c r="A894" t="s">
        <v>2679</v>
      </c>
      <c r="B894" t="s">
        <v>676</v>
      </c>
      <c r="C894" t="s">
        <v>3311</v>
      </c>
      <c r="D894" t="s">
        <v>3312</v>
      </c>
      <c r="E894" t="s">
        <v>3313</v>
      </c>
      <c r="F894" t="s">
        <v>44</v>
      </c>
      <c r="G894" t="s">
        <v>12</v>
      </c>
      <c r="H894">
        <f>144880*(1.01^10)</f>
        <v>160037.65352957536</v>
      </c>
      <c r="I894">
        <f>944717*(1.01^10)</f>
        <v>1043555.3004520971</v>
      </c>
      <c r="J894" t="s">
        <v>3314</v>
      </c>
      <c r="K894">
        <f t="shared" si="13"/>
        <v>1387.8461380645977</v>
      </c>
    </row>
    <row r="895" spans="1:11" x14ac:dyDescent="0.2">
      <c r="A895" t="s">
        <v>2679</v>
      </c>
      <c r="B895" t="s">
        <v>676</v>
      </c>
      <c r="C895" t="s">
        <v>3315</v>
      </c>
      <c r="D895" t="s">
        <v>3316</v>
      </c>
      <c r="E895" t="s">
        <v>1650</v>
      </c>
      <c r="F895" t="s">
        <v>333</v>
      </c>
      <c r="G895" t="s">
        <v>17</v>
      </c>
      <c r="H895">
        <f>87482*(1.01^10)</f>
        <v>96634.552775223012</v>
      </c>
      <c r="I895">
        <f>579879*(1.01^10)</f>
        <v>640547.17346132395</v>
      </c>
      <c r="J895" t="s">
        <v>3317</v>
      </c>
      <c r="K895">
        <f t="shared" si="13"/>
        <v>758.00315618814238</v>
      </c>
    </row>
    <row r="896" spans="1:11" x14ac:dyDescent="0.2">
      <c r="A896" t="s">
        <v>2679</v>
      </c>
      <c r="B896" t="s">
        <v>676</v>
      </c>
      <c r="C896" t="s">
        <v>3318</v>
      </c>
      <c r="D896" t="s">
        <v>3319</v>
      </c>
      <c r="E896" t="s">
        <v>1696</v>
      </c>
      <c r="F896" t="s">
        <v>458</v>
      </c>
      <c r="G896" t="s">
        <v>12</v>
      </c>
      <c r="H896">
        <f>61971*(1.01^10)</f>
        <v>68454.537733857767</v>
      </c>
      <c r="I896">
        <f>378839*(1.01^10)</f>
        <v>418473.94136865542</v>
      </c>
      <c r="J896" t="s">
        <v>3320</v>
      </c>
      <c r="K896">
        <f t="shared" si="13"/>
        <v>504.11543204979995</v>
      </c>
    </row>
    <row r="897" spans="1:11" x14ac:dyDescent="0.2">
      <c r="A897" t="s">
        <v>2679</v>
      </c>
      <c r="B897" t="s">
        <v>123</v>
      </c>
      <c r="C897" t="s">
        <v>3321</v>
      </c>
      <c r="D897" t="s">
        <v>440</v>
      </c>
      <c r="E897" t="s">
        <v>746</v>
      </c>
      <c r="F897" t="s">
        <v>12</v>
      </c>
      <c r="G897" t="s">
        <v>12</v>
      </c>
      <c r="H897">
        <f>103155*(1.01^10)</f>
        <v>113947.29534679283</v>
      </c>
      <c r="I897">
        <f>589657*(1.01^10)</f>
        <v>651348.16860359476</v>
      </c>
      <c r="J897" t="s">
        <v>3322</v>
      </c>
      <c r="K897">
        <f t="shared" si="13"/>
        <v>775.63695271064444</v>
      </c>
    </row>
    <row r="898" spans="1:11" x14ac:dyDescent="0.2">
      <c r="A898" t="s">
        <v>2679</v>
      </c>
      <c r="B898" t="s">
        <v>123</v>
      </c>
      <c r="C898" t="s">
        <v>3323</v>
      </c>
      <c r="D898" t="s">
        <v>3324</v>
      </c>
      <c r="E898" t="s">
        <v>2342</v>
      </c>
      <c r="F898" t="s">
        <v>92</v>
      </c>
      <c r="G898" t="s">
        <v>12</v>
      </c>
      <c r="H898">
        <f>54263*(1.01^10)</f>
        <v>59940.110391188202</v>
      </c>
      <c r="I898">
        <f>304801*(1.01^10)</f>
        <v>336689.92844746064</v>
      </c>
      <c r="J898" t="s">
        <v>3325</v>
      </c>
      <c r="K898">
        <f t="shared" si="13"/>
        <v>663.61035478855115</v>
      </c>
    </row>
    <row r="899" spans="1:11" x14ac:dyDescent="0.2">
      <c r="A899" t="s">
        <v>2679</v>
      </c>
      <c r="B899" t="s">
        <v>123</v>
      </c>
      <c r="C899" t="s">
        <v>3326</v>
      </c>
      <c r="D899" t="s">
        <v>2965</v>
      </c>
      <c r="E899" t="s">
        <v>926</v>
      </c>
      <c r="F899" t="s">
        <v>12</v>
      </c>
      <c r="G899" t="s">
        <v>152</v>
      </c>
      <c r="H899">
        <f>172028*(1.01^10)</f>
        <v>190025.93499023872</v>
      </c>
      <c r="I899">
        <f>978098*(1.01^10)</f>
        <v>1080428.6916204486</v>
      </c>
      <c r="J899" t="s">
        <v>3327</v>
      </c>
      <c r="K899">
        <f t="shared" ref="K899:K962" si="14">I899/J899</f>
        <v>1026.9688222493035</v>
      </c>
    </row>
    <row r="900" spans="1:11" x14ac:dyDescent="0.2">
      <c r="A900" t="s">
        <v>2679</v>
      </c>
      <c r="B900" t="s">
        <v>123</v>
      </c>
      <c r="C900" t="s">
        <v>3329</v>
      </c>
      <c r="D900" t="s">
        <v>3330</v>
      </c>
      <c r="E900" t="s">
        <v>385</v>
      </c>
      <c r="F900" t="s">
        <v>152</v>
      </c>
      <c r="G900" t="s">
        <v>12</v>
      </c>
      <c r="H900">
        <f>56576*(1.01^10)</f>
        <v>62495.101367264317</v>
      </c>
      <c r="I900">
        <f>321452*(1.01^10)</f>
        <v>355082.99145768257</v>
      </c>
      <c r="J900" t="s">
        <v>3331</v>
      </c>
      <c r="K900">
        <f t="shared" si="14"/>
        <v>750.25936413283887</v>
      </c>
    </row>
    <row r="901" spans="1:11" x14ac:dyDescent="0.2">
      <c r="A901" t="s">
        <v>2679</v>
      </c>
      <c r="B901" t="s">
        <v>123</v>
      </c>
      <c r="C901" t="s">
        <v>3333</v>
      </c>
      <c r="D901" t="s">
        <v>3334</v>
      </c>
      <c r="E901" t="s">
        <v>591</v>
      </c>
      <c r="F901" t="s">
        <v>92</v>
      </c>
      <c r="G901" t="s">
        <v>12</v>
      </c>
      <c r="H901">
        <f>78884*(1.01^10)</f>
        <v>87137.01174093748</v>
      </c>
      <c r="I901">
        <f>445217*(1.01^10)</f>
        <v>491796.54880920035</v>
      </c>
      <c r="J901" t="s">
        <v>3335</v>
      </c>
      <c r="K901">
        <f t="shared" si="14"/>
        <v>741.23983536237165</v>
      </c>
    </row>
    <row r="902" spans="1:11" x14ac:dyDescent="0.2">
      <c r="A902" t="s">
        <v>2679</v>
      </c>
      <c r="B902" t="s">
        <v>123</v>
      </c>
      <c r="C902" t="s">
        <v>3336</v>
      </c>
      <c r="D902" t="s">
        <v>3337</v>
      </c>
      <c r="E902" t="s">
        <v>2534</v>
      </c>
      <c r="F902" t="s">
        <v>17</v>
      </c>
      <c r="G902" t="s">
        <v>11</v>
      </c>
      <c r="H902">
        <f>114152*(1.01^10)</f>
        <v>126094.82485993985</v>
      </c>
      <c r="I902">
        <f>621474*(1.01^10)</f>
        <v>686493.9307678031</v>
      </c>
      <c r="J902" t="s">
        <v>3338</v>
      </c>
      <c r="K902">
        <f t="shared" si="14"/>
        <v>792.65085815934083</v>
      </c>
    </row>
    <row r="903" spans="1:11" x14ac:dyDescent="0.2">
      <c r="A903" t="s">
        <v>2679</v>
      </c>
      <c r="B903" t="s">
        <v>418</v>
      </c>
      <c r="C903" t="s">
        <v>3339</v>
      </c>
      <c r="D903" t="s">
        <v>3340</v>
      </c>
      <c r="E903" t="s">
        <v>1288</v>
      </c>
      <c r="F903" t="s">
        <v>5</v>
      </c>
      <c r="G903" t="s">
        <v>12</v>
      </c>
      <c r="H903">
        <f>82247*(1.01^10)</f>
        <v>90851.85594869536</v>
      </c>
      <c r="I903">
        <f>464250*(1.01^10)</f>
        <v>512820.82172215183</v>
      </c>
      <c r="J903" t="s">
        <v>3341</v>
      </c>
      <c r="K903">
        <f t="shared" si="14"/>
        <v>1016.4045022588517</v>
      </c>
    </row>
    <row r="904" spans="1:11" x14ac:dyDescent="0.2">
      <c r="A904" t="s">
        <v>2679</v>
      </c>
      <c r="B904" t="s">
        <v>418</v>
      </c>
      <c r="C904" t="s">
        <v>3342</v>
      </c>
      <c r="D904" t="s">
        <v>3343</v>
      </c>
      <c r="E904" t="s">
        <v>2915</v>
      </c>
      <c r="F904" t="s">
        <v>24</v>
      </c>
      <c r="G904" t="s">
        <v>24</v>
      </c>
      <c r="H904">
        <f>84045*(1.01^10)</f>
        <v>92837.966530184698</v>
      </c>
      <c r="I904">
        <f>479707*(1.01^10)</f>
        <v>529894.96591463278</v>
      </c>
      <c r="J904" t="s">
        <v>3344</v>
      </c>
      <c r="K904">
        <f t="shared" si="14"/>
        <v>969.72835248831177</v>
      </c>
    </row>
    <row r="905" spans="1:11" x14ac:dyDescent="0.2">
      <c r="A905" t="s">
        <v>2679</v>
      </c>
      <c r="B905" t="s">
        <v>418</v>
      </c>
      <c r="C905" t="s">
        <v>3345</v>
      </c>
      <c r="D905" t="s">
        <v>3346</v>
      </c>
      <c r="E905" t="s">
        <v>1446</v>
      </c>
      <c r="F905" t="s">
        <v>405</v>
      </c>
      <c r="G905" t="s">
        <v>12</v>
      </c>
      <c r="H905">
        <f>64415*(1.01^10)</f>
        <v>71154.234208362759</v>
      </c>
      <c r="I905">
        <f>385818*(1.01^10)</f>
        <v>426183.09918190021</v>
      </c>
      <c r="J905" t="s">
        <v>3347</v>
      </c>
      <c r="K905">
        <f t="shared" si="14"/>
        <v>1127.1747161170308</v>
      </c>
    </row>
    <row r="906" spans="1:11" x14ac:dyDescent="0.2">
      <c r="A906" t="s">
        <v>2679</v>
      </c>
      <c r="B906" t="s">
        <v>418</v>
      </c>
      <c r="C906" t="s">
        <v>3348</v>
      </c>
      <c r="D906" t="s">
        <v>3349</v>
      </c>
      <c r="E906" t="s">
        <v>1689</v>
      </c>
      <c r="F906" t="s">
        <v>318</v>
      </c>
      <c r="G906" t="s">
        <v>6</v>
      </c>
      <c r="H906">
        <f>115958*(1.01^10)</f>
        <v>128089.77241843248</v>
      </c>
      <c r="I906">
        <f>691457*(1.01^10)</f>
        <v>763798.70097045542</v>
      </c>
      <c r="J906" t="s">
        <v>3350</v>
      </c>
      <c r="K906">
        <f t="shared" si="14"/>
        <v>1795.2388525179908</v>
      </c>
    </row>
    <row r="907" spans="1:11" x14ac:dyDescent="0.2">
      <c r="A907" t="s">
        <v>2679</v>
      </c>
      <c r="B907" t="s">
        <v>418</v>
      </c>
      <c r="C907" t="s">
        <v>3351</v>
      </c>
      <c r="D907" t="s">
        <v>3352</v>
      </c>
      <c r="E907" t="s">
        <v>2221</v>
      </c>
      <c r="F907" t="s">
        <v>12</v>
      </c>
      <c r="G907" t="s">
        <v>12</v>
      </c>
      <c r="H907">
        <f>76710*(1.01^10)</f>
        <v>84735.563240293515</v>
      </c>
      <c r="I907">
        <f>449764*(1.01^10)</f>
        <v>496819.26561344508</v>
      </c>
      <c r="J907" t="s">
        <v>3353</v>
      </c>
      <c r="K907">
        <f t="shared" si="14"/>
        <v>1021.3093223220293</v>
      </c>
    </row>
    <row r="908" spans="1:11" x14ac:dyDescent="0.2">
      <c r="A908" t="s">
        <v>2679</v>
      </c>
      <c r="B908" t="s">
        <v>631</v>
      </c>
      <c r="C908" t="s">
        <v>3355</v>
      </c>
      <c r="D908" t="s">
        <v>2753</v>
      </c>
      <c r="E908" t="s">
        <v>3356</v>
      </c>
      <c r="F908" t="s">
        <v>142</v>
      </c>
      <c r="G908" t="s">
        <v>5</v>
      </c>
      <c r="H908">
        <f>91783*(1.01^10)</f>
        <v>101385.53253661661</v>
      </c>
      <c r="I908">
        <f>604096*(1.01^10)</f>
        <v>667297.80747240712</v>
      </c>
      <c r="J908" t="s">
        <v>3357</v>
      </c>
      <c r="K908">
        <f t="shared" si="14"/>
        <v>1375.8376392294333</v>
      </c>
    </row>
    <row r="909" spans="1:11" x14ac:dyDescent="0.2">
      <c r="A909" t="s">
        <v>2679</v>
      </c>
      <c r="B909" t="s">
        <v>631</v>
      </c>
      <c r="C909" t="s">
        <v>3358</v>
      </c>
      <c r="D909" t="s">
        <v>3359</v>
      </c>
      <c r="E909" t="s">
        <v>1585</v>
      </c>
      <c r="F909" t="s">
        <v>23</v>
      </c>
      <c r="G909" t="s">
        <v>24</v>
      </c>
      <c r="H909">
        <f>67358*(1.01^10)</f>
        <v>74405.13712344793</v>
      </c>
      <c r="I909">
        <f>440496*(1.01^10)</f>
        <v>486581.62775513402</v>
      </c>
      <c r="J909" t="s">
        <v>3360</v>
      </c>
      <c r="K909">
        <f t="shared" si="14"/>
        <v>1074.7118178907347</v>
      </c>
    </row>
    <row r="910" spans="1:11" x14ac:dyDescent="0.2">
      <c r="A910" t="s">
        <v>2679</v>
      </c>
      <c r="B910" t="s">
        <v>631</v>
      </c>
      <c r="C910" t="s">
        <v>3361</v>
      </c>
      <c r="D910" t="s">
        <v>3362</v>
      </c>
      <c r="E910" t="s">
        <v>2528</v>
      </c>
      <c r="F910" t="s">
        <v>11</v>
      </c>
      <c r="G910" t="s">
        <v>17</v>
      </c>
      <c r="H910">
        <f>83429*(1.01^10)</f>
        <v>92157.519300931395</v>
      </c>
      <c r="I910">
        <f>546995*(1.01^10)</f>
        <v>604222.77948930196</v>
      </c>
      <c r="J910" t="s">
        <v>3363</v>
      </c>
      <c r="K910">
        <f t="shared" si="14"/>
        <v>1179.670031564744</v>
      </c>
    </row>
    <row r="911" spans="1:11" x14ac:dyDescent="0.2">
      <c r="A911" t="s">
        <v>2679</v>
      </c>
      <c r="B911" t="s">
        <v>631</v>
      </c>
      <c r="C911" t="s">
        <v>3364</v>
      </c>
      <c r="D911" t="s">
        <v>3365</v>
      </c>
      <c r="E911" t="s">
        <v>1350</v>
      </c>
      <c r="F911" t="s">
        <v>92</v>
      </c>
      <c r="G911" t="s">
        <v>12</v>
      </c>
      <c r="H911">
        <f>86189*(1.01^10)</f>
        <v>95206.276367066326</v>
      </c>
      <c r="I911">
        <f>557632*(1.01^10)</f>
        <v>615972.64503730088</v>
      </c>
      <c r="J911" t="s">
        <v>3366</v>
      </c>
      <c r="K911">
        <f t="shared" si="14"/>
        <v>1010.9313899085439</v>
      </c>
    </row>
    <row r="912" spans="1:11" x14ac:dyDescent="0.2">
      <c r="A912" t="s">
        <v>2679</v>
      </c>
      <c r="B912" t="s">
        <v>631</v>
      </c>
      <c r="C912" t="s">
        <v>3367</v>
      </c>
      <c r="D912" t="s">
        <v>3368</v>
      </c>
      <c r="E912" t="s">
        <v>2417</v>
      </c>
      <c r="F912" t="s">
        <v>158</v>
      </c>
      <c r="G912" t="s">
        <v>24</v>
      </c>
      <c r="H912">
        <f>39969*(1.01^10)</f>
        <v>44150.641730560441</v>
      </c>
      <c r="I912">
        <f>248669*(1.01^10)</f>
        <v>274685.2793038789</v>
      </c>
      <c r="J912" t="s">
        <v>3369</v>
      </c>
      <c r="K912">
        <f t="shared" si="14"/>
        <v>944.85136781378048</v>
      </c>
    </row>
    <row r="913" spans="1:11" x14ac:dyDescent="0.2">
      <c r="A913" t="s">
        <v>2679</v>
      </c>
      <c r="B913" t="s">
        <v>584</v>
      </c>
      <c r="C913" t="s">
        <v>3370</v>
      </c>
      <c r="D913" t="s">
        <v>3371</v>
      </c>
      <c r="E913" t="s">
        <v>330</v>
      </c>
      <c r="F913" t="s">
        <v>5</v>
      </c>
      <c r="G913" t="s">
        <v>5</v>
      </c>
      <c r="H913">
        <f>120943*(1.01^10)</f>
        <v>133596.31371360735</v>
      </c>
      <c r="I913">
        <f>709816*(1.01^10)</f>
        <v>784078.45857087965</v>
      </c>
      <c r="J913" t="s">
        <v>3372</v>
      </c>
      <c r="K913">
        <f t="shared" si="14"/>
        <v>992.60241645789006</v>
      </c>
    </row>
    <row r="914" spans="1:11" x14ac:dyDescent="0.2">
      <c r="A914" t="s">
        <v>2679</v>
      </c>
      <c r="B914" t="s">
        <v>584</v>
      </c>
      <c r="C914" t="s">
        <v>3373</v>
      </c>
      <c r="D914" t="s">
        <v>3374</v>
      </c>
      <c r="E914" t="s">
        <v>1410</v>
      </c>
      <c r="F914" t="s">
        <v>17</v>
      </c>
      <c r="G914" t="s">
        <v>24</v>
      </c>
      <c r="H914">
        <f>67832*(1.01^10)</f>
        <v>74928.728010892839</v>
      </c>
      <c r="I914">
        <f>390935*(1.01^10)</f>
        <v>431835.4505976293</v>
      </c>
      <c r="J914" t="s">
        <v>3375</v>
      </c>
      <c r="K914">
        <f t="shared" si="14"/>
        <v>734.50397590631269</v>
      </c>
    </row>
    <row r="915" spans="1:11" x14ac:dyDescent="0.2">
      <c r="A915" t="s">
        <v>2679</v>
      </c>
      <c r="B915" t="s">
        <v>584</v>
      </c>
      <c r="C915" t="s">
        <v>3376</v>
      </c>
      <c r="D915" t="s">
        <v>3377</v>
      </c>
      <c r="E915" t="s">
        <v>581</v>
      </c>
      <c r="F915" t="s">
        <v>17</v>
      </c>
      <c r="G915" t="s">
        <v>17</v>
      </c>
      <c r="H915">
        <f>74872*(1.01^10)</f>
        <v>82705.267773787724</v>
      </c>
      <c r="I915">
        <f>447330*(1.01^10)</f>
        <v>494130.61536019424</v>
      </c>
      <c r="J915" t="s">
        <v>3378</v>
      </c>
      <c r="K915">
        <f t="shared" si="14"/>
        <v>821.48356403032517</v>
      </c>
    </row>
    <row r="916" spans="1:11" x14ac:dyDescent="0.2">
      <c r="A916" t="s">
        <v>2679</v>
      </c>
      <c r="B916" t="s">
        <v>584</v>
      </c>
      <c r="C916" t="s">
        <v>3379</v>
      </c>
      <c r="D916" t="s">
        <v>3380</v>
      </c>
      <c r="E916" t="s">
        <v>979</v>
      </c>
      <c r="F916" t="s">
        <v>24</v>
      </c>
      <c r="G916" t="s">
        <v>17</v>
      </c>
      <c r="H916">
        <f>136475*(1.01^10)</f>
        <v>150753.30456549418</v>
      </c>
      <c r="I916">
        <f>833577*(1.01^10)</f>
        <v>920787.5974338958</v>
      </c>
      <c r="J916" t="s">
        <v>3381</v>
      </c>
      <c r="K916">
        <f t="shared" si="14"/>
        <v>1200.7154773928476</v>
      </c>
    </row>
    <row r="917" spans="1:11" x14ac:dyDescent="0.2">
      <c r="A917" t="s">
        <v>2679</v>
      </c>
      <c r="B917" t="s">
        <v>584</v>
      </c>
      <c r="C917" t="s">
        <v>3382</v>
      </c>
      <c r="D917" t="s">
        <v>506</v>
      </c>
      <c r="E917" t="s">
        <v>3383</v>
      </c>
      <c r="F917" t="s">
        <v>744</v>
      </c>
      <c r="G917" t="s">
        <v>24</v>
      </c>
      <c r="H917">
        <f>69069*(1.01^10)</f>
        <v>76295.145580026496</v>
      </c>
      <c r="I917">
        <f>420389*(1.01^10)</f>
        <v>464370.99067949096</v>
      </c>
      <c r="J917" t="s">
        <v>3384</v>
      </c>
      <c r="K917">
        <f t="shared" si="14"/>
        <v>889.76987660200848</v>
      </c>
    </row>
    <row r="918" spans="1:11" x14ac:dyDescent="0.2">
      <c r="A918" t="s">
        <v>2679</v>
      </c>
      <c r="B918" t="s">
        <v>584</v>
      </c>
      <c r="C918" t="s">
        <v>3386</v>
      </c>
      <c r="D918" t="s">
        <v>3387</v>
      </c>
      <c r="E918" t="s">
        <v>3388</v>
      </c>
      <c r="F918" t="s">
        <v>152</v>
      </c>
      <c r="G918" t="s">
        <v>12</v>
      </c>
      <c r="H918">
        <f>75745*(1.01^10)</f>
        <v>83669.6028892717</v>
      </c>
      <c r="I918">
        <f>471564*(1.01^10)</f>
        <v>520900.02794740937</v>
      </c>
      <c r="J918" t="s">
        <v>3389</v>
      </c>
      <c r="K918">
        <f t="shared" si="14"/>
        <v>948.43567445279041</v>
      </c>
    </row>
    <row r="919" spans="1:11" x14ac:dyDescent="0.2">
      <c r="A919" t="s">
        <v>2679</v>
      </c>
      <c r="B919" t="s">
        <v>584</v>
      </c>
      <c r="C919" t="s">
        <v>3390</v>
      </c>
      <c r="D919" t="s">
        <v>3391</v>
      </c>
      <c r="E919" t="s">
        <v>1641</v>
      </c>
      <c r="F919" t="s">
        <v>5</v>
      </c>
      <c r="G919" t="s">
        <v>17</v>
      </c>
      <c r="H919">
        <f>78587*(1.01^10)</f>
        <v>86808.938969690353</v>
      </c>
      <c r="I919">
        <f>523506*(1.01^10)</f>
        <v>578276.31038551813</v>
      </c>
      <c r="J919" t="s">
        <v>3392</v>
      </c>
      <c r="K919">
        <f t="shared" si="14"/>
        <v>934.74085612220404</v>
      </c>
    </row>
    <row r="920" spans="1:11" x14ac:dyDescent="0.2">
      <c r="A920" t="s">
        <v>2679</v>
      </c>
      <c r="B920" t="s">
        <v>486</v>
      </c>
      <c r="C920" t="s">
        <v>3394</v>
      </c>
      <c r="D920" t="s">
        <v>3395</v>
      </c>
      <c r="E920" t="s">
        <v>2522</v>
      </c>
      <c r="F920" t="s">
        <v>274</v>
      </c>
      <c r="G920" t="s">
        <v>17</v>
      </c>
      <c r="H920">
        <f>223852*(1.01^10)</f>
        <v>247271.872017549</v>
      </c>
      <c r="I920">
        <f>1272045*(1.01^10)</f>
        <v>1405129.0515186959</v>
      </c>
      <c r="J920" t="s">
        <v>3396</v>
      </c>
      <c r="K920">
        <f t="shared" si="14"/>
        <v>596.16283372287353</v>
      </c>
    </row>
    <row r="921" spans="1:11" x14ac:dyDescent="0.2">
      <c r="A921" t="s">
        <v>2679</v>
      </c>
      <c r="B921" t="s">
        <v>486</v>
      </c>
      <c r="C921" t="s">
        <v>3397</v>
      </c>
      <c r="D921" t="s">
        <v>3398</v>
      </c>
      <c r="E921" t="s">
        <v>933</v>
      </c>
      <c r="F921" t="s">
        <v>405</v>
      </c>
      <c r="G921" t="s">
        <v>24</v>
      </c>
      <c r="H921">
        <f>98029*(1.01^10)</f>
        <v>108285.00233193499</v>
      </c>
      <c r="I921">
        <f>546995*(1.01^10)</f>
        <v>604222.77948930196</v>
      </c>
      <c r="J921" t="s">
        <v>3399</v>
      </c>
      <c r="K921">
        <f t="shared" si="14"/>
        <v>635.60033463658328</v>
      </c>
    </row>
    <row r="922" spans="1:11" x14ac:dyDescent="0.2">
      <c r="A922" t="s">
        <v>2679</v>
      </c>
      <c r="B922" t="s">
        <v>486</v>
      </c>
      <c r="C922" t="s">
        <v>3401</v>
      </c>
      <c r="D922" t="s">
        <v>3402</v>
      </c>
      <c r="E922" t="s">
        <v>401</v>
      </c>
      <c r="F922" t="s">
        <v>12</v>
      </c>
      <c r="G922" t="s">
        <v>17</v>
      </c>
      <c r="H922">
        <f>143683*(1.01^10)</f>
        <v>158715.42084545814</v>
      </c>
      <c r="I922">
        <f>843905*(1.01^10)</f>
        <v>932196.13474514277</v>
      </c>
      <c r="J922" t="s">
        <v>3403</v>
      </c>
      <c r="K922">
        <f t="shared" si="14"/>
        <v>1071.4688786058862</v>
      </c>
    </row>
    <row r="923" spans="1:11" x14ac:dyDescent="0.2">
      <c r="A923" t="s">
        <v>2679</v>
      </c>
      <c r="B923" t="s">
        <v>486</v>
      </c>
      <c r="C923" t="s">
        <v>3405</v>
      </c>
      <c r="D923" t="s">
        <v>3406</v>
      </c>
      <c r="E923" t="s">
        <v>1189</v>
      </c>
      <c r="F923" t="s">
        <v>92</v>
      </c>
      <c r="G923" t="s">
        <v>12</v>
      </c>
      <c r="H923">
        <f>138190*(1.01^10)</f>
        <v>152647.73151057438</v>
      </c>
      <c r="I923">
        <f>824786*(1.01^10)</f>
        <v>911076.86432940594</v>
      </c>
      <c r="J923" t="s">
        <v>3407</v>
      </c>
      <c r="K923">
        <f t="shared" si="14"/>
        <v>859.99294242440646</v>
      </c>
    </row>
    <row r="924" spans="1:11" x14ac:dyDescent="0.2">
      <c r="A924" t="s">
        <v>2679</v>
      </c>
      <c r="B924" t="s">
        <v>385</v>
      </c>
      <c r="C924" t="s">
        <v>3408</v>
      </c>
      <c r="D924" t="s">
        <v>3409</v>
      </c>
      <c r="E924" t="s">
        <v>1370</v>
      </c>
      <c r="F924" t="s">
        <v>313</v>
      </c>
      <c r="G924" t="s">
        <v>12</v>
      </c>
      <c r="H924">
        <f>113170*(1.01^10)</f>
        <v>125010.08593278604</v>
      </c>
      <c r="I924">
        <f>681465*(1.01^10)</f>
        <v>752761.3166933466</v>
      </c>
      <c r="J924" t="s">
        <v>3410</v>
      </c>
      <c r="K924">
        <f t="shared" si="14"/>
        <v>665.21230741913928</v>
      </c>
    </row>
    <row r="925" spans="1:11" x14ac:dyDescent="0.2">
      <c r="A925" t="s">
        <v>2679</v>
      </c>
      <c r="B925" t="s">
        <v>385</v>
      </c>
      <c r="C925" t="s">
        <v>3412</v>
      </c>
      <c r="D925" t="s">
        <v>3413</v>
      </c>
      <c r="E925" t="s">
        <v>242</v>
      </c>
      <c r="F925" t="s">
        <v>92</v>
      </c>
      <c r="G925" t="s">
        <v>12</v>
      </c>
      <c r="H925">
        <f>75119*(1.01^10)</f>
        <v>82978.109438764295</v>
      </c>
      <c r="I925">
        <f>435896*(1.01^10)</f>
        <v>481500.36597824248</v>
      </c>
      <c r="J925" t="s">
        <v>3414</v>
      </c>
      <c r="K925">
        <f t="shared" si="14"/>
        <v>947.11566212453329</v>
      </c>
    </row>
    <row r="926" spans="1:11" x14ac:dyDescent="0.2">
      <c r="A926" t="s">
        <v>2679</v>
      </c>
      <c r="B926" t="s">
        <v>1227</v>
      </c>
      <c r="C926" t="s">
        <v>3415</v>
      </c>
      <c r="D926" t="s">
        <v>3416</v>
      </c>
      <c r="E926" t="s">
        <v>118</v>
      </c>
      <c r="F926" t="s">
        <v>11</v>
      </c>
      <c r="G926" t="s">
        <v>17</v>
      </c>
      <c r="H926">
        <f>104998*(1.01^10)</f>
        <v>115983.11392392567</v>
      </c>
      <c r="I926">
        <f>666644*(1.01^10)</f>
        <v>736389.71217262722</v>
      </c>
      <c r="J926" t="s">
        <v>3417</v>
      </c>
      <c r="K926">
        <f t="shared" si="14"/>
        <v>685.41084423048756</v>
      </c>
    </row>
    <row r="927" spans="1:11" x14ac:dyDescent="0.2">
      <c r="A927" t="s">
        <v>2679</v>
      </c>
      <c r="B927" t="s">
        <v>1227</v>
      </c>
      <c r="C927" t="s">
        <v>3419</v>
      </c>
      <c r="D927" t="s">
        <v>3420</v>
      </c>
      <c r="E927" t="s">
        <v>1397</v>
      </c>
      <c r="F927" t="s">
        <v>405</v>
      </c>
      <c r="G927" t="s">
        <v>11</v>
      </c>
      <c r="H927">
        <f>114024*(1.01^10)</f>
        <v>125953.43322788722</v>
      </c>
      <c r="I927">
        <f>779179*(1.01^10)</f>
        <v>860698.36305577715</v>
      </c>
      <c r="J927" t="s">
        <v>3421</v>
      </c>
      <c r="K927">
        <f t="shared" si="14"/>
        <v>560.04149773509505</v>
      </c>
    </row>
    <row r="928" spans="1:11" x14ac:dyDescent="0.2">
      <c r="A928" t="s">
        <v>2679</v>
      </c>
      <c r="B928" t="s">
        <v>1227</v>
      </c>
      <c r="C928" t="s">
        <v>3422</v>
      </c>
      <c r="D928" t="s">
        <v>3423</v>
      </c>
      <c r="E928" t="s">
        <v>639</v>
      </c>
      <c r="F928" t="s">
        <v>5</v>
      </c>
      <c r="G928" t="s">
        <v>12</v>
      </c>
      <c r="H928">
        <f>104859*(1.01^10)</f>
        <v>115829.57144849352</v>
      </c>
      <c r="I928">
        <f>702842*(1.01^10)</f>
        <v>776374.823868262</v>
      </c>
      <c r="J928" t="s">
        <v>3424</v>
      </c>
      <c r="K928">
        <f t="shared" si="14"/>
        <v>1052.323712339519</v>
      </c>
    </row>
    <row r="929" spans="1:11" x14ac:dyDescent="0.2">
      <c r="A929" t="s">
        <v>2679</v>
      </c>
      <c r="B929" t="s">
        <v>971</v>
      </c>
      <c r="C929" t="s">
        <v>3425</v>
      </c>
      <c r="D929" t="s">
        <v>3426</v>
      </c>
      <c r="E929" t="s">
        <v>3427</v>
      </c>
      <c r="F929" t="s">
        <v>24</v>
      </c>
      <c r="G929" t="s">
        <v>92</v>
      </c>
      <c r="H929">
        <f>183659*(1.01^10)</f>
        <v>202873.79493089646</v>
      </c>
      <c r="I929">
        <f>1169971*(1.01^10)</f>
        <v>1292375.8526894727</v>
      </c>
      <c r="J929" t="s">
        <v>3428</v>
      </c>
      <c r="K929">
        <f t="shared" si="14"/>
        <v>1100.2605698229311</v>
      </c>
    </row>
    <row r="930" spans="1:11" x14ac:dyDescent="0.2">
      <c r="A930" t="s">
        <v>2679</v>
      </c>
      <c r="B930" t="s">
        <v>971</v>
      </c>
      <c r="C930" t="s">
        <v>3429</v>
      </c>
      <c r="D930" t="s">
        <v>3430</v>
      </c>
      <c r="E930" t="s">
        <v>926</v>
      </c>
      <c r="F930" t="s">
        <v>24</v>
      </c>
      <c r="G930" t="s">
        <v>17</v>
      </c>
      <c r="H930">
        <f>136067*(1.01^10)</f>
        <v>150302.61873832639</v>
      </c>
      <c r="I930">
        <f>855636*(1.01^10)</f>
        <v>945154.45689834154</v>
      </c>
      <c r="J930" t="s">
        <v>3431</v>
      </c>
      <c r="K930">
        <f t="shared" si="14"/>
        <v>915.25368296909096</v>
      </c>
    </row>
    <row r="931" spans="1:11" x14ac:dyDescent="0.2">
      <c r="A931" t="s">
        <v>2679</v>
      </c>
      <c r="B931" t="s">
        <v>971</v>
      </c>
      <c r="C931" t="s">
        <v>3432</v>
      </c>
      <c r="D931" t="s">
        <v>3433</v>
      </c>
      <c r="E931" t="s">
        <v>639</v>
      </c>
      <c r="F931" t="s">
        <v>11</v>
      </c>
      <c r="G931" t="s">
        <v>12</v>
      </c>
      <c r="H931">
        <f>119931*(1.01^10)</f>
        <v>132478.4361226912</v>
      </c>
      <c r="I931">
        <f>761822*(1.01^10)</f>
        <v>841525.43682501477</v>
      </c>
      <c r="J931" t="s">
        <v>3434</v>
      </c>
      <c r="K931">
        <f t="shared" si="14"/>
        <v>786.76377625985822</v>
      </c>
    </row>
    <row r="932" spans="1:11" x14ac:dyDescent="0.2">
      <c r="A932" t="s">
        <v>2679</v>
      </c>
      <c r="B932" t="s">
        <v>971</v>
      </c>
      <c r="C932" t="s">
        <v>3435</v>
      </c>
      <c r="D932" t="s">
        <v>3436</v>
      </c>
      <c r="E932" t="s">
        <v>84</v>
      </c>
      <c r="F932" t="s">
        <v>17</v>
      </c>
      <c r="G932" t="s">
        <v>17</v>
      </c>
      <c r="H932">
        <f>101590*(1.01^10)</f>
        <v>112218.56172052429</v>
      </c>
      <c r="I932">
        <f>646490*(1.01^10)</f>
        <v>714127.15785708977</v>
      </c>
      <c r="J932" t="s">
        <v>3437</v>
      </c>
      <c r="K932">
        <f t="shared" si="14"/>
        <v>983.48242473167147</v>
      </c>
    </row>
    <row r="933" spans="1:11" x14ac:dyDescent="0.2">
      <c r="A933" t="s">
        <v>2679</v>
      </c>
      <c r="B933" t="s">
        <v>203</v>
      </c>
      <c r="C933" t="s">
        <v>3438</v>
      </c>
      <c r="D933" t="s">
        <v>3439</v>
      </c>
      <c r="E933" t="s">
        <v>1641</v>
      </c>
      <c r="F933" t="s">
        <v>274</v>
      </c>
      <c r="G933" t="s">
        <v>17</v>
      </c>
      <c r="H933">
        <f>63819*(1.01^10)</f>
        <v>70495.879421617676</v>
      </c>
      <c r="I933">
        <f>420532*(1.01^10)</f>
        <v>464528.95164342475</v>
      </c>
      <c r="J933" t="s">
        <v>3440</v>
      </c>
      <c r="K933">
        <f t="shared" si="14"/>
        <v>895.50708338507718</v>
      </c>
    </row>
    <row r="934" spans="1:11" x14ac:dyDescent="0.2">
      <c r="A934" t="s">
        <v>2679</v>
      </c>
      <c r="B934" t="s">
        <v>203</v>
      </c>
      <c r="C934" t="s">
        <v>3441</v>
      </c>
      <c r="D934" t="s">
        <v>3442</v>
      </c>
      <c r="E934" t="s">
        <v>3443</v>
      </c>
      <c r="F934" t="s">
        <v>427</v>
      </c>
      <c r="G934" t="s">
        <v>17</v>
      </c>
      <c r="H934">
        <f>91915*(1.01^10)</f>
        <v>101531.34265717088</v>
      </c>
      <c r="I934">
        <f>610441*(1.01^10)</f>
        <v>674306.63485814119</v>
      </c>
      <c r="J934" t="s">
        <v>3444</v>
      </c>
      <c r="K934">
        <f t="shared" si="14"/>
        <v>1046.1012694015837</v>
      </c>
    </row>
    <row r="935" spans="1:11" x14ac:dyDescent="0.2">
      <c r="A935" t="s">
        <v>2679</v>
      </c>
      <c r="B935" t="s">
        <v>203</v>
      </c>
      <c r="C935" t="s">
        <v>3445</v>
      </c>
      <c r="D935" t="s">
        <v>3446</v>
      </c>
      <c r="E935" t="s">
        <v>3108</v>
      </c>
      <c r="F935" t="s">
        <v>537</v>
      </c>
      <c r="G935" t="s">
        <v>12</v>
      </c>
      <c r="H935">
        <f>89084*(1.01^10)</f>
        <v>98404.157420131771</v>
      </c>
      <c r="I935">
        <f>598222*(1.01^10)</f>
        <v>660809.25710774178</v>
      </c>
      <c r="J935" t="s">
        <v>3447</v>
      </c>
      <c r="K935">
        <f t="shared" si="14"/>
        <v>1031.412077676762</v>
      </c>
    </row>
    <row r="936" spans="1:11" x14ac:dyDescent="0.2">
      <c r="A936" t="s">
        <v>2679</v>
      </c>
      <c r="B936" t="s">
        <v>203</v>
      </c>
      <c r="C936" t="s">
        <v>3448</v>
      </c>
      <c r="D936" t="s">
        <v>3449</v>
      </c>
      <c r="E936" t="s">
        <v>1073</v>
      </c>
      <c r="F936" t="s">
        <v>427</v>
      </c>
      <c r="G936" t="s">
        <v>12</v>
      </c>
      <c r="H936">
        <f>66797*(1.01^10)</f>
        <v>73785.444111092249</v>
      </c>
      <c r="I936">
        <f>454240*(1.01^10)</f>
        <v>501763.55424678564</v>
      </c>
      <c r="J936" t="s">
        <v>3450</v>
      </c>
      <c r="K936">
        <f t="shared" si="14"/>
        <v>856.9673289490828</v>
      </c>
    </row>
    <row r="937" spans="1:11" x14ac:dyDescent="0.2">
      <c r="A937" t="s">
        <v>2679</v>
      </c>
      <c r="B937" t="s">
        <v>203</v>
      </c>
      <c r="C937" t="s">
        <v>3451</v>
      </c>
      <c r="D937" t="s">
        <v>3452</v>
      </c>
      <c r="E937" t="s">
        <v>431</v>
      </c>
      <c r="F937" t="s">
        <v>97</v>
      </c>
      <c r="G937" t="s">
        <v>17</v>
      </c>
      <c r="H937">
        <f>67736*(1.01^10)</f>
        <v>74822.684286853371</v>
      </c>
      <c r="I937">
        <f>475862*(1.01^10)</f>
        <v>525647.69384242676</v>
      </c>
      <c r="J937" t="s">
        <v>3453</v>
      </c>
      <c r="K937">
        <f t="shared" si="14"/>
        <v>1039.896248380009</v>
      </c>
    </row>
    <row r="938" spans="1:11" x14ac:dyDescent="0.2">
      <c r="A938" t="s">
        <v>2679</v>
      </c>
      <c r="B938" t="s">
        <v>128</v>
      </c>
      <c r="C938" t="s">
        <v>3455</v>
      </c>
      <c r="D938" t="s">
        <v>3456</v>
      </c>
      <c r="E938" t="s">
        <v>905</v>
      </c>
      <c r="F938" t="s">
        <v>44</v>
      </c>
      <c r="G938" t="s">
        <v>24</v>
      </c>
      <c r="H938">
        <f>54954*(1.01^10)</f>
        <v>60703.404279847346</v>
      </c>
      <c r="I938">
        <f>358572*(1.01^10)</f>
        <v>396086.56475294649</v>
      </c>
      <c r="J938" t="s">
        <v>3457</v>
      </c>
      <c r="K938">
        <f t="shared" si="14"/>
        <v>949.10025984973879</v>
      </c>
    </row>
    <row r="939" spans="1:11" x14ac:dyDescent="0.2">
      <c r="A939" t="s">
        <v>2679</v>
      </c>
      <c r="B939" t="s">
        <v>128</v>
      </c>
      <c r="C939" t="s">
        <v>3458</v>
      </c>
      <c r="D939" t="s">
        <v>3459</v>
      </c>
      <c r="E939" t="s">
        <v>3460</v>
      </c>
      <c r="F939" t="s">
        <v>535</v>
      </c>
      <c r="G939" t="s">
        <v>17</v>
      </c>
      <c r="H939">
        <f>147127*(1.01^10)</f>
        <v>162519.73944537432</v>
      </c>
      <c r="I939">
        <f>950401*(1.01^10)</f>
        <v>1049833.9726129344</v>
      </c>
      <c r="J939" t="s">
        <v>3461</v>
      </c>
      <c r="K939">
        <f t="shared" si="14"/>
        <v>865.25333391687479</v>
      </c>
    </row>
    <row r="940" spans="1:11" x14ac:dyDescent="0.2">
      <c r="A940" t="s">
        <v>2679</v>
      </c>
      <c r="B940" t="s">
        <v>128</v>
      </c>
      <c r="C940" t="s">
        <v>3462</v>
      </c>
      <c r="D940" t="s">
        <v>3463</v>
      </c>
      <c r="E940" t="s">
        <v>69</v>
      </c>
      <c r="F940" t="s">
        <v>1589</v>
      </c>
      <c r="G940" t="s">
        <v>12</v>
      </c>
      <c r="H940">
        <f>149064*(1.01^10)</f>
        <v>164659.39250229581</v>
      </c>
      <c r="I940">
        <f>949461*(1.01^10)</f>
        <v>1048795.627815048</v>
      </c>
      <c r="J940" t="s">
        <v>3464</v>
      </c>
      <c r="K940">
        <f t="shared" si="14"/>
        <v>1265.8525788286254</v>
      </c>
    </row>
    <row r="941" spans="1:11" x14ac:dyDescent="0.2">
      <c r="A941" t="s">
        <v>2679</v>
      </c>
      <c r="B941" t="s">
        <v>128</v>
      </c>
      <c r="C941" t="s">
        <v>3465</v>
      </c>
      <c r="D941" t="s">
        <v>3466</v>
      </c>
      <c r="E941" t="s">
        <v>1410</v>
      </c>
      <c r="F941" t="s">
        <v>313</v>
      </c>
      <c r="G941" t="s">
        <v>24</v>
      </c>
      <c r="H941">
        <f>31067*(1.01^10)</f>
        <v>34317.295570149901</v>
      </c>
      <c r="I941">
        <f>206030*(1.01^10)</f>
        <v>227585.2964984705</v>
      </c>
      <c r="J941" t="s">
        <v>3467</v>
      </c>
      <c r="K941">
        <f t="shared" si="14"/>
        <v>994.66826370672095</v>
      </c>
    </row>
    <row r="942" spans="1:11" x14ac:dyDescent="0.2">
      <c r="A942" t="s">
        <v>2679</v>
      </c>
      <c r="B942" t="s">
        <v>1430</v>
      </c>
      <c r="C942" t="s">
        <v>3468</v>
      </c>
      <c r="D942" t="s">
        <v>3469</v>
      </c>
      <c r="E942" t="s">
        <v>995</v>
      </c>
      <c r="F942" t="s">
        <v>67</v>
      </c>
      <c r="G942" t="s">
        <v>12</v>
      </c>
      <c r="H942">
        <f>71175*(1.01^10)</f>
        <v>78621.4797761425</v>
      </c>
      <c r="I942">
        <f>475229*(1.01^10)</f>
        <v>524948.46803704137</v>
      </c>
      <c r="J942" t="s">
        <v>3470</v>
      </c>
      <c r="K942">
        <f t="shared" si="14"/>
        <v>1098.4866957455117</v>
      </c>
    </row>
    <row r="943" spans="1:11" x14ac:dyDescent="0.2">
      <c r="A943" t="s">
        <v>2679</v>
      </c>
      <c r="B943" t="s">
        <v>1430</v>
      </c>
      <c r="C943" t="s">
        <v>3471</v>
      </c>
      <c r="D943" t="s">
        <v>3472</v>
      </c>
      <c r="E943" t="s">
        <v>2757</v>
      </c>
      <c r="F943" t="s">
        <v>1506</v>
      </c>
      <c r="G943" t="s">
        <v>5</v>
      </c>
      <c r="H943">
        <f>105545*(1.01^10)</f>
        <v>116587.34222652561</v>
      </c>
      <c r="I943">
        <f>722332*(1.01^10)</f>
        <v>797903.9090925263</v>
      </c>
      <c r="J943" t="s">
        <v>3473</v>
      </c>
      <c r="K943">
        <f t="shared" si="14"/>
        <v>1361.0529674418635</v>
      </c>
    </row>
    <row r="944" spans="1:11" x14ac:dyDescent="0.2">
      <c r="A944" t="s">
        <v>2679</v>
      </c>
      <c r="B944" t="s">
        <v>1430</v>
      </c>
      <c r="C944" t="s">
        <v>3474</v>
      </c>
      <c r="D944" t="s">
        <v>3475</v>
      </c>
      <c r="E944" t="s">
        <v>3476</v>
      </c>
      <c r="F944" t="s">
        <v>789</v>
      </c>
      <c r="G944" t="s">
        <v>12</v>
      </c>
      <c r="H944">
        <f>79925*(1.01^10)</f>
        <v>88286.923373490543</v>
      </c>
      <c r="I944">
        <f>517622*(1.01^10)</f>
        <v>571776.71379959863</v>
      </c>
      <c r="J944" t="s">
        <v>3477</v>
      </c>
      <c r="K944">
        <f t="shared" si="14"/>
        <v>982.65284322280991</v>
      </c>
    </row>
    <row r="945" spans="1:11" x14ac:dyDescent="0.2">
      <c r="A945" t="s">
        <v>2679</v>
      </c>
      <c r="B945" t="s">
        <v>236</v>
      </c>
      <c r="C945" t="s">
        <v>3478</v>
      </c>
      <c r="D945" t="s">
        <v>3479</v>
      </c>
      <c r="E945" t="s">
        <v>118</v>
      </c>
      <c r="F945" t="s">
        <v>11</v>
      </c>
      <c r="G945" t="s">
        <v>17</v>
      </c>
      <c r="H945">
        <f>78074*(1.01^10)</f>
        <v>86242.267819354398</v>
      </c>
      <c r="I945">
        <f>511045*(1.01^10)</f>
        <v>564511.61408076913</v>
      </c>
      <c r="J945" t="s">
        <v>3480</v>
      </c>
      <c r="K945">
        <f t="shared" si="14"/>
        <v>851.78481625406084</v>
      </c>
    </row>
    <row r="946" spans="1:11" x14ac:dyDescent="0.2">
      <c r="A946" t="s">
        <v>2679</v>
      </c>
      <c r="B946" t="s">
        <v>236</v>
      </c>
      <c r="C946" t="s">
        <v>3481</v>
      </c>
      <c r="D946" t="s">
        <v>3482</v>
      </c>
      <c r="E946" t="s">
        <v>475</v>
      </c>
      <c r="F946" t="s">
        <v>103</v>
      </c>
      <c r="G946" t="s">
        <v>17</v>
      </c>
      <c r="H946">
        <f>88965*(1.01^10)</f>
        <v>98272.707387207833</v>
      </c>
      <c r="I946">
        <f>539761*(1.01^10)</f>
        <v>596231.9430340773</v>
      </c>
      <c r="J946" t="s">
        <v>3483</v>
      </c>
      <c r="K946">
        <f t="shared" si="14"/>
        <v>855.70701639630818</v>
      </c>
    </row>
    <row r="947" spans="1:11" x14ac:dyDescent="0.2">
      <c r="A947" t="s">
        <v>2679</v>
      </c>
      <c r="B947" t="s">
        <v>236</v>
      </c>
      <c r="C947" t="s">
        <v>3484</v>
      </c>
      <c r="D947" t="s">
        <v>3485</v>
      </c>
      <c r="E947" t="s">
        <v>933</v>
      </c>
      <c r="F947" t="s">
        <v>152</v>
      </c>
      <c r="G947" t="s">
        <v>12</v>
      </c>
      <c r="H947">
        <f>76670*(1.01^10)</f>
        <v>84691.378355277062</v>
      </c>
      <c r="I947">
        <f>487236*(1.01^10)</f>
        <v>538211.66589685378</v>
      </c>
      <c r="J947" t="s">
        <v>3486</v>
      </c>
      <c r="K947">
        <f t="shared" si="14"/>
        <v>1078.4544809730576</v>
      </c>
    </row>
    <row r="948" spans="1:11" x14ac:dyDescent="0.2">
      <c r="A948" t="s">
        <v>2679</v>
      </c>
      <c r="B948" t="s">
        <v>236</v>
      </c>
      <c r="C948" t="s">
        <v>3487</v>
      </c>
      <c r="D948" t="s">
        <v>3083</v>
      </c>
      <c r="E948" t="s">
        <v>3269</v>
      </c>
      <c r="F948" t="s">
        <v>6</v>
      </c>
      <c r="G948" t="s">
        <v>17</v>
      </c>
      <c r="H948">
        <f>182856*(1.01^10)</f>
        <v>201986.78336419124</v>
      </c>
      <c r="I948">
        <f>1146661*(1.01^10)</f>
        <v>1266627.1109461375</v>
      </c>
      <c r="J948" t="s">
        <v>3488</v>
      </c>
      <c r="K948">
        <f t="shared" si="14"/>
        <v>1158.394054159332</v>
      </c>
    </row>
    <row r="949" spans="1:11" x14ac:dyDescent="0.2">
      <c r="A949" t="s">
        <v>2679</v>
      </c>
      <c r="B949" t="s">
        <v>2603</v>
      </c>
      <c r="C949" t="s">
        <v>3489</v>
      </c>
      <c r="D949" t="s">
        <v>3490</v>
      </c>
      <c r="E949" t="s">
        <v>740</v>
      </c>
      <c r="F949" t="s">
        <v>274</v>
      </c>
      <c r="G949" t="s">
        <v>12</v>
      </c>
      <c r="H949">
        <f>63385*(1.01^10)</f>
        <v>70016.473419189206</v>
      </c>
      <c r="I949">
        <f>395143*(1.01^10)</f>
        <v>436483.70050135965</v>
      </c>
      <c r="J949" t="s">
        <v>3491</v>
      </c>
      <c r="K949">
        <f t="shared" si="14"/>
        <v>1211.9494564496517</v>
      </c>
    </row>
    <row r="950" spans="1:11" x14ac:dyDescent="0.2">
      <c r="A950" t="s">
        <v>2679</v>
      </c>
      <c r="B950" t="s">
        <v>2603</v>
      </c>
      <c r="C950" t="s">
        <v>3492</v>
      </c>
      <c r="D950" t="s">
        <v>3493</v>
      </c>
      <c r="E950" t="s">
        <v>577</v>
      </c>
      <c r="F950" t="s">
        <v>789</v>
      </c>
      <c r="G950" t="s">
        <v>17</v>
      </c>
      <c r="H950">
        <f>61707*(1.01^10)</f>
        <v>68162.917492749213</v>
      </c>
      <c r="I950">
        <f>393807*(1.01^10)</f>
        <v>435007.92534181033</v>
      </c>
      <c r="J950" t="s">
        <v>3494</v>
      </c>
      <c r="K950">
        <f t="shared" si="14"/>
        <v>1258.9433302353186</v>
      </c>
    </row>
    <row r="951" spans="1:11" x14ac:dyDescent="0.2">
      <c r="A951" t="s">
        <v>2679</v>
      </c>
      <c r="B951" t="s">
        <v>2603</v>
      </c>
      <c r="C951" t="s">
        <v>3495</v>
      </c>
      <c r="D951" t="s">
        <v>3496</v>
      </c>
      <c r="E951" t="s">
        <v>3497</v>
      </c>
      <c r="F951" t="s">
        <v>537</v>
      </c>
      <c r="G951" t="s">
        <v>6</v>
      </c>
      <c r="H951">
        <f>264606*(1.01^10)</f>
        <v>292289.64211655722</v>
      </c>
      <c r="I951">
        <f>1629421*(1.01^10)</f>
        <v>1799894.4882096506</v>
      </c>
      <c r="J951" t="s">
        <v>3498</v>
      </c>
      <c r="K951">
        <f t="shared" si="14"/>
        <v>2142.3575755675015</v>
      </c>
    </row>
    <row r="952" spans="1:11" x14ac:dyDescent="0.2">
      <c r="A952" t="s">
        <v>2679</v>
      </c>
      <c r="B952" t="s">
        <v>2603</v>
      </c>
      <c r="C952" t="s">
        <v>3499</v>
      </c>
      <c r="D952" t="s">
        <v>3500</v>
      </c>
      <c r="E952" t="s">
        <v>608</v>
      </c>
      <c r="F952" t="s">
        <v>108</v>
      </c>
      <c r="G952" t="s">
        <v>12</v>
      </c>
      <c r="H952">
        <f>71660*(1.01^10)</f>
        <v>79157.221506966933</v>
      </c>
      <c r="I952">
        <f>453414*(1.01^10)</f>
        <v>500851.13637119601</v>
      </c>
      <c r="J952" t="s">
        <v>3501</v>
      </c>
      <c r="K952">
        <f t="shared" si="14"/>
        <v>1353.2568553266431</v>
      </c>
    </row>
    <row r="953" spans="1:11" x14ac:dyDescent="0.2">
      <c r="A953" t="s">
        <v>2679</v>
      </c>
      <c r="B953" t="s">
        <v>2603</v>
      </c>
      <c r="C953" t="s">
        <v>3503</v>
      </c>
      <c r="D953" t="s">
        <v>3504</v>
      </c>
      <c r="E953" t="s">
        <v>187</v>
      </c>
      <c r="F953" t="s">
        <v>410</v>
      </c>
      <c r="G953" t="s">
        <v>12</v>
      </c>
      <c r="H953">
        <f>65812*(1.01^10)</f>
        <v>72697.3913175622</v>
      </c>
      <c r="I953">
        <f>447172*(1.01^10)</f>
        <v>493956.08506437927</v>
      </c>
      <c r="J953" t="s">
        <v>3505</v>
      </c>
      <c r="K953">
        <f t="shared" si="14"/>
        <v>978.20119735370758</v>
      </c>
    </row>
    <row r="954" spans="1:11" x14ac:dyDescent="0.2">
      <c r="A954" t="s">
        <v>2679</v>
      </c>
      <c r="B954" t="s">
        <v>2603</v>
      </c>
      <c r="C954" t="s">
        <v>3506</v>
      </c>
      <c r="D954" t="s">
        <v>3507</v>
      </c>
      <c r="E954" t="s">
        <v>3055</v>
      </c>
      <c r="F954" t="s">
        <v>1589</v>
      </c>
      <c r="G954" t="s">
        <v>24</v>
      </c>
      <c r="H954">
        <f>87546*(1.01^10)</f>
        <v>96705.248591249328</v>
      </c>
      <c r="I954">
        <f>583987*(1.01^10)</f>
        <v>645084.96115251328</v>
      </c>
      <c r="J954" t="s">
        <v>3508</v>
      </c>
      <c r="K954">
        <f t="shared" si="14"/>
        <v>1633.9718991905418</v>
      </c>
    </row>
    <row r="955" spans="1:11" x14ac:dyDescent="0.2">
      <c r="A955" t="s">
        <v>2679</v>
      </c>
      <c r="B955" t="s">
        <v>2603</v>
      </c>
      <c r="C955" t="s">
        <v>3509</v>
      </c>
      <c r="D955" t="s">
        <v>3510</v>
      </c>
      <c r="E955" t="s">
        <v>3511</v>
      </c>
      <c r="F955" t="s">
        <v>324</v>
      </c>
      <c r="G955" t="s">
        <v>17</v>
      </c>
      <c r="H955">
        <f>78244*(1.01^10)</f>
        <v>86430.053580674299</v>
      </c>
      <c r="I955">
        <f>537951*(1.01^10)</f>
        <v>594232.57698708295</v>
      </c>
      <c r="J955" t="s">
        <v>3512</v>
      </c>
      <c r="K955">
        <f t="shared" si="14"/>
        <v>1175.9872723316159</v>
      </c>
    </row>
    <row r="956" spans="1:11" x14ac:dyDescent="0.2">
      <c r="A956" t="s">
        <v>2679</v>
      </c>
      <c r="B956" t="s">
        <v>811</v>
      </c>
      <c r="C956" t="s">
        <v>3513</v>
      </c>
      <c r="D956" t="s">
        <v>3514</v>
      </c>
      <c r="E956" t="s">
        <v>1147</v>
      </c>
      <c r="F956" t="s">
        <v>16</v>
      </c>
      <c r="G956" t="s">
        <v>17</v>
      </c>
      <c r="H956">
        <f>176775*(1.01^10)</f>
        <v>195269.57621956573</v>
      </c>
      <c r="I956">
        <f>1126539*(1.01^10)</f>
        <v>1244399.9045386133</v>
      </c>
      <c r="J956" t="s">
        <v>3515</v>
      </c>
      <c r="K956">
        <f t="shared" si="14"/>
        <v>1227.7977928412608</v>
      </c>
    </row>
    <row r="957" spans="1:11" x14ac:dyDescent="0.2">
      <c r="A957" t="s">
        <v>2679</v>
      </c>
      <c r="B957" t="s">
        <v>811</v>
      </c>
      <c r="C957" t="s">
        <v>3516</v>
      </c>
      <c r="D957" t="s">
        <v>3517</v>
      </c>
      <c r="E957" t="s">
        <v>1332</v>
      </c>
      <c r="F957" t="s">
        <v>24</v>
      </c>
      <c r="G957" t="s">
        <v>11</v>
      </c>
      <c r="H957">
        <f>154231*(1.01^10)</f>
        <v>170366.97502429551</v>
      </c>
      <c r="I957">
        <f>956312*(1.01^10)</f>
        <v>1056363.3939962401</v>
      </c>
      <c r="J957" t="s">
        <v>3518</v>
      </c>
      <c r="K957">
        <f t="shared" si="14"/>
        <v>1361.3212800660292</v>
      </c>
    </row>
    <row r="958" spans="1:11" x14ac:dyDescent="0.2">
      <c r="A958" t="s">
        <v>2679</v>
      </c>
      <c r="B958" t="s">
        <v>811</v>
      </c>
      <c r="C958" t="s">
        <v>3519</v>
      </c>
      <c r="D958" t="s">
        <v>3520</v>
      </c>
      <c r="E958" t="s">
        <v>3231</v>
      </c>
      <c r="F958" t="s">
        <v>744</v>
      </c>
      <c r="G958" t="s">
        <v>17</v>
      </c>
      <c r="H958">
        <f>93716*(1.01^10)</f>
        <v>103520.76710503646</v>
      </c>
      <c r="I958">
        <f>614143*(1.01^10)</f>
        <v>678395.94596641348</v>
      </c>
      <c r="J958" t="s">
        <v>3521</v>
      </c>
      <c r="K958">
        <f t="shared" si="14"/>
        <v>1511.1563506342607</v>
      </c>
    </row>
    <row r="959" spans="1:11" x14ac:dyDescent="0.2">
      <c r="A959" t="s">
        <v>2679</v>
      </c>
      <c r="B959" t="s">
        <v>811</v>
      </c>
      <c r="C959" t="s">
        <v>3522</v>
      </c>
      <c r="D959" t="s">
        <v>3523</v>
      </c>
      <c r="E959" t="s">
        <v>973</v>
      </c>
      <c r="F959" t="s">
        <v>382</v>
      </c>
      <c r="G959" t="s">
        <v>12</v>
      </c>
      <c r="H959">
        <f>136340*(1.01^10)</f>
        <v>150604.18057856365</v>
      </c>
      <c r="I959">
        <f>867550*(1.01^10)</f>
        <v>958314.92490049067</v>
      </c>
      <c r="J959" t="s">
        <v>3524</v>
      </c>
      <c r="K959">
        <f t="shared" si="14"/>
        <v>1437.68195642358</v>
      </c>
    </row>
    <row r="960" spans="1:11" x14ac:dyDescent="0.2">
      <c r="A960" t="s">
        <v>2679</v>
      </c>
      <c r="B960" t="s">
        <v>396</v>
      </c>
      <c r="C960" t="s">
        <v>3525</v>
      </c>
      <c r="D960" t="s">
        <v>3526</v>
      </c>
      <c r="E960" t="s">
        <v>1605</v>
      </c>
      <c r="F960" t="s">
        <v>274</v>
      </c>
      <c r="G960" t="s">
        <v>11</v>
      </c>
      <c r="H960">
        <f>189288*(1.01^10)</f>
        <v>209091.71287483611</v>
      </c>
      <c r="I960">
        <f>1237450*(1.01^10)</f>
        <v>1366914.6490900954</v>
      </c>
      <c r="J960" t="s">
        <v>3527</v>
      </c>
      <c r="K960">
        <f t="shared" si="14"/>
        <v>1475.3367289696544</v>
      </c>
    </row>
    <row r="961" spans="1:11" x14ac:dyDescent="0.2">
      <c r="A961" t="s">
        <v>2679</v>
      </c>
      <c r="B961" t="s">
        <v>396</v>
      </c>
      <c r="C961" t="s">
        <v>3528</v>
      </c>
      <c r="D961" t="s">
        <v>3529</v>
      </c>
      <c r="E961" t="s">
        <v>918</v>
      </c>
      <c r="F961" t="s">
        <v>356</v>
      </c>
      <c r="G961" t="s">
        <v>12</v>
      </c>
      <c r="H961">
        <f>64831*(1.01^10)</f>
        <v>71613.75701253381</v>
      </c>
      <c r="I961">
        <f>439763*(1.01^10)</f>
        <v>485771.93973720761</v>
      </c>
      <c r="J961" t="s">
        <v>3530</v>
      </c>
      <c r="K961">
        <f t="shared" si="14"/>
        <v>1228.0039120555157</v>
      </c>
    </row>
    <row r="962" spans="1:11" x14ac:dyDescent="0.2">
      <c r="A962" t="s">
        <v>2679</v>
      </c>
      <c r="B962" t="s">
        <v>396</v>
      </c>
      <c r="C962" t="s">
        <v>3531</v>
      </c>
      <c r="D962" t="s">
        <v>3532</v>
      </c>
      <c r="E962" t="s">
        <v>743</v>
      </c>
      <c r="F962" t="s">
        <v>56</v>
      </c>
      <c r="G962" t="s">
        <v>12</v>
      </c>
      <c r="H962">
        <f>56251*(1.01^10)</f>
        <v>62136.099176505675</v>
      </c>
      <c r="I962">
        <f>369994*(1.01^10)</f>
        <v>408703.5586693933</v>
      </c>
      <c r="J962" t="s">
        <v>3533</v>
      </c>
      <c r="K962">
        <f t="shared" si="14"/>
        <v>1092.5710775775253</v>
      </c>
    </row>
    <row r="963" spans="1:11" x14ac:dyDescent="0.2">
      <c r="A963" t="s">
        <v>2679</v>
      </c>
      <c r="B963" t="s">
        <v>396</v>
      </c>
      <c r="C963" t="s">
        <v>3534</v>
      </c>
      <c r="D963" t="s">
        <v>3535</v>
      </c>
      <c r="E963" t="s">
        <v>3536</v>
      </c>
      <c r="F963" t="s">
        <v>91</v>
      </c>
      <c r="G963" t="s">
        <v>5</v>
      </c>
      <c r="H963">
        <f>91896*(1.01^10)</f>
        <v>101510.35483678807</v>
      </c>
      <c r="I963">
        <f>604483*(1.01^10)</f>
        <v>667725.29623494123</v>
      </c>
      <c r="J963" t="s">
        <v>3537</v>
      </c>
      <c r="K963">
        <f t="shared" ref="K963:K1026" si="15">I963/J963</f>
        <v>1377.7195134853664</v>
      </c>
    </row>
    <row r="964" spans="1:11" x14ac:dyDescent="0.2">
      <c r="A964" t="s">
        <v>2679</v>
      </c>
      <c r="B964" t="s">
        <v>396</v>
      </c>
      <c r="C964" t="s">
        <v>3538</v>
      </c>
      <c r="D964" t="s">
        <v>3539</v>
      </c>
      <c r="E964" t="s">
        <v>3238</v>
      </c>
      <c r="F964" t="s">
        <v>1656</v>
      </c>
      <c r="G964" t="s">
        <v>12</v>
      </c>
      <c r="H964">
        <f>66080*(1.01^10)</f>
        <v>72993.430047172413</v>
      </c>
      <c r="I964">
        <f>449256*(1.01^10)</f>
        <v>496258.11757373618</v>
      </c>
      <c r="J964" t="s">
        <v>3540</v>
      </c>
      <c r="K964">
        <f t="shared" si="15"/>
        <v>1381.663316471685</v>
      </c>
    </row>
    <row r="965" spans="1:11" x14ac:dyDescent="0.2">
      <c r="A965" t="s">
        <v>2679</v>
      </c>
      <c r="B965" t="s">
        <v>2553</v>
      </c>
      <c r="C965" t="s">
        <v>3541</v>
      </c>
      <c r="D965" t="s">
        <v>3542</v>
      </c>
      <c r="E965" t="s">
        <v>691</v>
      </c>
      <c r="F965" t="s">
        <v>61</v>
      </c>
      <c r="G965" t="s">
        <v>12</v>
      </c>
      <c r="H965">
        <f>68215*(1.01^10)</f>
        <v>75351.798284925331</v>
      </c>
      <c r="I965">
        <f>459068*(1.01^10)</f>
        <v>507096.66986827092</v>
      </c>
      <c r="J965" t="s">
        <v>3543</v>
      </c>
      <c r="K965">
        <f t="shared" si="15"/>
        <v>1199.0731812041024</v>
      </c>
    </row>
    <row r="966" spans="1:11" x14ac:dyDescent="0.2">
      <c r="A966" t="s">
        <v>2679</v>
      </c>
      <c r="B966" t="s">
        <v>2553</v>
      </c>
      <c r="C966" t="s">
        <v>3544</v>
      </c>
      <c r="D966" t="s">
        <v>3545</v>
      </c>
      <c r="E966" t="s">
        <v>3546</v>
      </c>
      <c r="F966" t="s">
        <v>1060</v>
      </c>
      <c r="G966" t="s">
        <v>5</v>
      </c>
      <c r="H966">
        <f>132228*(1.01^10)</f>
        <v>146061.97439887279</v>
      </c>
      <c r="I966">
        <f>901483*(1.01^10)</f>
        <v>995798.06748206913</v>
      </c>
      <c r="J966" t="s">
        <v>3547</v>
      </c>
      <c r="K966">
        <f t="shared" si="15"/>
        <v>1129.9785233224952</v>
      </c>
    </row>
    <row r="967" spans="1:11" x14ac:dyDescent="0.2">
      <c r="A967" t="s">
        <v>2679</v>
      </c>
      <c r="B967" t="s">
        <v>2553</v>
      </c>
      <c r="C967" t="s">
        <v>3548</v>
      </c>
      <c r="D967" t="s">
        <v>3549</v>
      </c>
      <c r="E967" t="s">
        <v>1508</v>
      </c>
      <c r="F967" t="s">
        <v>264</v>
      </c>
      <c r="G967" t="s">
        <v>744</v>
      </c>
      <c r="H967">
        <f>138449*(1.01^10)</f>
        <v>152933.82864105588</v>
      </c>
      <c r="I967">
        <f>978799*(1.01^10)</f>
        <v>1081203.0317303617</v>
      </c>
      <c r="J967" t="s">
        <v>3550</v>
      </c>
      <c r="K967">
        <f t="shared" si="15"/>
        <v>1867.0622165137879</v>
      </c>
    </row>
    <row r="968" spans="1:11" x14ac:dyDescent="0.2">
      <c r="A968" t="s">
        <v>2679</v>
      </c>
      <c r="B968" t="s">
        <v>2553</v>
      </c>
      <c r="C968" t="s">
        <v>3551</v>
      </c>
      <c r="D968" t="s">
        <v>3552</v>
      </c>
      <c r="E968" t="s">
        <v>3553</v>
      </c>
      <c r="F968" t="s">
        <v>313</v>
      </c>
      <c r="G968" t="s">
        <v>17</v>
      </c>
      <c r="H968">
        <f>84917*(1.01^10)</f>
        <v>93801.197023543267</v>
      </c>
      <c r="I968">
        <f>595715*(1.01^10)</f>
        <v>658039.96943933587</v>
      </c>
      <c r="J968" t="s">
        <v>3554</v>
      </c>
      <c r="K968">
        <f t="shared" si="15"/>
        <v>1351.4271318471651</v>
      </c>
    </row>
    <row r="969" spans="1:11" x14ac:dyDescent="0.2">
      <c r="A969" t="s">
        <v>2679</v>
      </c>
      <c r="B969" t="s">
        <v>2553</v>
      </c>
      <c r="C969" t="s">
        <v>3555</v>
      </c>
      <c r="D969" t="s">
        <v>3295</v>
      </c>
      <c r="E969" t="s">
        <v>1004</v>
      </c>
      <c r="F969" t="s">
        <v>427</v>
      </c>
      <c r="G969" t="s">
        <v>17</v>
      </c>
      <c r="H969">
        <f>100052*(1.01^10)</f>
        <v>110519.65289164186</v>
      </c>
      <c r="I969">
        <f>696523*(1.01^10)</f>
        <v>769394.71665778861</v>
      </c>
      <c r="J969" t="s">
        <v>3556</v>
      </c>
      <c r="K969">
        <f t="shared" si="15"/>
        <v>1155.2496756516275</v>
      </c>
    </row>
    <row r="970" spans="1:11" x14ac:dyDescent="0.2">
      <c r="A970" t="s">
        <v>2679</v>
      </c>
      <c r="B970" t="s">
        <v>2553</v>
      </c>
      <c r="C970" t="s">
        <v>3557</v>
      </c>
      <c r="D970" t="s">
        <v>3558</v>
      </c>
      <c r="E970" t="s">
        <v>3559</v>
      </c>
      <c r="F970" t="s">
        <v>176</v>
      </c>
      <c r="G970" t="s">
        <v>12</v>
      </c>
      <c r="H970">
        <f>85111*(1.01^10)</f>
        <v>94015.493715873046</v>
      </c>
      <c r="I970">
        <f>581647*(1.01^10)</f>
        <v>642500.14537905098</v>
      </c>
      <c r="J970" t="s">
        <v>3560</v>
      </c>
      <c r="K970">
        <f t="shared" si="15"/>
        <v>1025.0607221742623</v>
      </c>
    </row>
    <row r="971" spans="1:11" x14ac:dyDescent="0.2">
      <c r="A971" t="s">
        <v>2679</v>
      </c>
      <c r="B971" t="s">
        <v>2553</v>
      </c>
      <c r="C971" t="s">
        <v>3561</v>
      </c>
      <c r="D971" t="s">
        <v>3562</v>
      </c>
      <c r="E971" t="s">
        <v>960</v>
      </c>
      <c r="F971" t="s">
        <v>374</v>
      </c>
      <c r="G971" t="s">
        <v>12</v>
      </c>
      <c r="H971">
        <f>56260*(1.01^10)</f>
        <v>62146.040775634377</v>
      </c>
      <c r="I971">
        <f>400678*(1.01^10)</f>
        <v>442597.78396551072</v>
      </c>
      <c r="J971" t="s">
        <v>3563</v>
      </c>
      <c r="K971">
        <f t="shared" si="15"/>
        <v>1131.863674409959</v>
      </c>
    </row>
    <row r="972" spans="1:11" x14ac:dyDescent="0.2">
      <c r="A972" t="s">
        <v>2679</v>
      </c>
      <c r="B972" t="s">
        <v>350</v>
      </c>
      <c r="C972" t="s">
        <v>3564</v>
      </c>
      <c r="D972" t="s">
        <v>3565</v>
      </c>
      <c r="E972" t="s">
        <v>731</v>
      </c>
      <c r="F972" t="s">
        <v>411</v>
      </c>
      <c r="G972" t="s">
        <v>11</v>
      </c>
      <c r="H972">
        <f>70277*(1.01^10)</f>
        <v>77629.529107523238</v>
      </c>
      <c r="I972">
        <f>467413*(1.01^10)</f>
        <v>516314.74150482746</v>
      </c>
      <c r="J972" t="s">
        <v>3566</v>
      </c>
      <c r="K972">
        <f t="shared" si="15"/>
        <v>1485.8920779749506</v>
      </c>
    </row>
    <row r="973" spans="1:11" x14ac:dyDescent="0.2">
      <c r="A973" t="s">
        <v>2679</v>
      </c>
      <c r="B973" t="s">
        <v>350</v>
      </c>
      <c r="C973" t="s">
        <v>3567</v>
      </c>
      <c r="D973" t="s">
        <v>3568</v>
      </c>
      <c r="E973" t="s">
        <v>517</v>
      </c>
      <c r="F973" t="s">
        <v>374</v>
      </c>
      <c r="G973" t="s">
        <v>12</v>
      </c>
      <c r="H973">
        <f>50954*(1.01^10)</f>
        <v>56284.915778202529</v>
      </c>
      <c r="I973">
        <f>334116*(1.01^10)</f>
        <v>369071.92605389009</v>
      </c>
      <c r="J973" t="s">
        <v>3569</v>
      </c>
      <c r="K973">
        <f t="shared" si="15"/>
        <v>794.03130925539324</v>
      </c>
    </row>
    <row r="974" spans="1:11" x14ac:dyDescent="0.2">
      <c r="A974" t="s">
        <v>2679</v>
      </c>
      <c r="B974" t="s">
        <v>350</v>
      </c>
      <c r="C974" t="s">
        <v>3570</v>
      </c>
      <c r="D974" t="s">
        <v>3571</v>
      </c>
      <c r="E974" t="s">
        <v>460</v>
      </c>
      <c r="F974" t="s">
        <v>796</v>
      </c>
      <c r="G974" t="s">
        <v>158</v>
      </c>
      <c r="H974">
        <f>131312*(1.01^10)</f>
        <v>145050.14053199612</v>
      </c>
      <c r="I974">
        <f>910549*(1.01^10)</f>
        <v>1005812.571671047</v>
      </c>
      <c r="J974" t="s">
        <v>3572</v>
      </c>
      <c r="K974">
        <f t="shared" si="15"/>
        <v>1962.8497762175039</v>
      </c>
    </row>
    <row r="975" spans="1:11" x14ac:dyDescent="0.2">
      <c r="A975" t="s">
        <v>2679</v>
      </c>
      <c r="B975" t="s">
        <v>350</v>
      </c>
      <c r="C975" t="s">
        <v>3573</v>
      </c>
      <c r="D975" t="s">
        <v>3574</v>
      </c>
      <c r="E975" t="s">
        <v>641</v>
      </c>
      <c r="F975" t="s">
        <v>185</v>
      </c>
      <c r="G975" t="s">
        <v>5</v>
      </c>
      <c r="H975">
        <f>71881*(1.01^10)</f>
        <v>79401.342996682812</v>
      </c>
      <c r="I975">
        <f>493890*(1.01^10)</f>
        <v>545561.82151933992</v>
      </c>
      <c r="J975" t="s">
        <v>3575</v>
      </c>
      <c r="K975">
        <f t="shared" si="15"/>
        <v>1405.0495168716391</v>
      </c>
    </row>
    <row r="976" spans="1:11" x14ac:dyDescent="0.2">
      <c r="A976" t="s">
        <v>2679</v>
      </c>
      <c r="B976" t="s">
        <v>133</v>
      </c>
      <c r="C976" t="s">
        <v>3576</v>
      </c>
      <c r="D976" t="s">
        <v>3577</v>
      </c>
      <c r="E976" t="s">
        <v>2653</v>
      </c>
      <c r="F976" t="s">
        <v>411</v>
      </c>
      <c r="G976" t="s">
        <v>12</v>
      </c>
      <c r="H976">
        <f>57235*(1.01^10)</f>
        <v>63223.047347910302</v>
      </c>
      <c r="I976">
        <f>392294*(1.01^10)</f>
        <v>433336.63206606318</v>
      </c>
      <c r="J976" t="s">
        <v>3578</v>
      </c>
      <c r="K976">
        <f t="shared" si="15"/>
        <v>1190.4634698724656</v>
      </c>
    </row>
    <row r="977" spans="1:11" x14ac:dyDescent="0.2">
      <c r="A977" t="s">
        <v>2679</v>
      </c>
      <c r="B977" t="s">
        <v>133</v>
      </c>
      <c r="C977" t="s">
        <v>3579</v>
      </c>
      <c r="D977" t="s">
        <v>3580</v>
      </c>
      <c r="E977" t="s">
        <v>725</v>
      </c>
      <c r="F977" t="s">
        <v>726</v>
      </c>
      <c r="G977" t="s">
        <v>12</v>
      </c>
      <c r="H977">
        <f>60360*(1.01^10)</f>
        <v>66674.991489820313</v>
      </c>
      <c r="I977">
        <f>392801*(1.01^10)</f>
        <v>433896.67548364663</v>
      </c>
      <c r="J977" t="s">
        <v>3581</v>
      </c>
      <c r="K977">
        <f t="shared" si="15"/>
        <v>1090.988056961065</v>
      </c>
    </row>
    <row r="978" spans="1:11" x14ac:dyDescent="0.2">
      <c r="A978" t="s">
        <v>2679</v>
      </c>
      <c r="B978" t="s">
        <v>133</v>
      </c>
      <c r="C978" t="s">
        <v>3582</v>
      </c>
      <c r="D978" t="s">
        <v>3583</v>
      </c>
      <c r="E978" t="s">
        <v>2079</v>
      </c>
      <c r="F978" t="s">
        <v>1580</v>
      </c>
      <c r="G978" t="s">
        <v>12</v>
      </c>
      <c r="H978">
        <f>81899*(1.01^10)</f>
        <v>90467.447449052255</v>
      </c>
      <c r="I978">
        <f>548010*(1.01^10)</f>
        <v>605343.97094659426</v>
      </c>
      <c r="J978" t="s">
        <v>3584</v>
      </c>
      <c r="K978">
        <f t="shared" si="15"/>
        <v>1141.1177667082291</v>
      </c>
    </row>
    <row r="979" spans="1:11" x14ac:dyDescent="0.2">
      <c r="A979" t="s">
        <v>2679</v>
      </c>
      <c r="B979" t="s">
        <v>133</v>
      </c>
      <c r="C979" t="s">
        <v>3585</v>
      </c>
      <c r="D979" t="s">
        <v>3586</v>
      </c>
      <c r="E979" t="s">
        <v>3112</v>
      </c>
      <c r="F979" t="s">
        <v>358</v>
      </c>
      <c r="G979" t="s">
        <v>5</v>
      </c>
      <c r="H979">
        <f>144433*(1.01^10)</f>
        <v>159543.88743951655</v>
      </c>
      <c r="I979">
        <f>979400*(1.01^10)</f>
        <v>1081866.909627734</v>
      </c>
      <c r="J979" t="s">
        <v>3587</v>
      </c>
      <c r="K979">
        <f t="shared" si="15"/>
        <v>1345.0156459790092</v>
      </c>
    </row>
    <row r="980" spans="1:11" x14ac:dyDescent="0.2">
      <c r="A980" t="s">
        <v>2679</v>
      </c>
      <c r="B980" t="s">
        <v>133</v>
      </c>
      <c r="C980" t="s">
        <v>3588</v>
      </c>
      <c r="D980" t="s">
        <v>3589</v>
      </c>
      <c r="E980" t="s">
        <v>1737</v>
      </c>
      <c r="F980" t="s">
        <v>626</v>
      </c>
      <c r="G980" t="s">
        <v>5</v>
      </c>
      <c r="H980">
        <f>82262*(1.01^10)</f>
        <v>90868.425280576528</v>
      </c>
      <c r="I980">
        <f>540524*(1.01^10)</f>
        <v>597074.76971576607</v>
      </c>
      <c r="J980" t="s">
        <v>3590</v>
      </c>
      <c r="K980">
        <f t="shared" si="15"/>
        <v>1082.0565847818971</v>
      </c>
    </row>
    <row r="981" spans="1:11" x14ac:dyDescent="0.2">
      <c r="A981" t="s">
        <v>2679</v>
      </c>
      <c r="B981" t="s">
        <v>133</v>
      </c>
      <c r="C981" t="s">
        <v>3591</v>
      </c>
      <c r="D981" t="s">
        <v>3592</v>
      </c>
      <c r="E981" t="s">
        <v>1944</v>
      </c>
      <c r="F981" t="s">
        <v>1027</v>
      </c>
      <c r="G981" t="s">
        <v>24</v>
      </c>
      <c r="H981">
        <f>54079*(1.01^10)</f>
        <v>59736.85992011254</v>
      </c>
      <c r="I981">
        <f>386745*(1.01^10)</f>
        <v>427207.08389215637</v>
      </c>
      <c r="J981" t="s">
        <v>3593</v>
      </c>
      <c r="K981">
        <f t="shared" si="15"/>
        <v>1284.2416604358857</v>
      </c>
    </row>
    <row r="982" spans="1:11" x14ac:dyDescent="0.2">
      <c r="A982" t="s">
        <v>2679</v>
      </c>
      <c r="B982" t="s">
        <v>352</v>
      </c>
      <c r="C982" t="s">
        <v>3594</v>
      </c>
      <c r="D982" t="s">
        <v>3595</v>
      </c>
      <c r="E982" t="s">
        <v>1629</v>
      </c>
      <c r="F982" t="s">
        <v>77</v>
      </c>
      <c r="G982" t="s">
        <v>17</v>
      </c>
      <c r="H982">
        <f>109065*(1.01^10)</f>
        <v>120475.61210797305</v>
      </c>
      <c r="I982">
        <f>761994*(1.01^10)</f>
        <v>841715.43183058558</v>
      </c>
      <c r="J982" t="s">
        <v>3596</v>
      </c>
      <c r="K982">
        <f t="shared" si="15"/>
        <v>1194.6678811241927</v>
      </c>
    </row>
    <row r="983" spans="1:11" x14ac:dyDescent="0.2">
      <c r="A983" t="s">
        <v>2679</v>
      </c>
      <c r="B983" t="s">
        <v>352</v>
      </c>
      <c r="C983" t="s">
        <v>3597</v>
      </c>
      <c r="D983" t="s">
        <v>3598</v>
      </c>
      <c r="E983" t="s">
        <v>1024</v>
      </c>
      <c r="F983" t="s">
        <v>17</v>
      </c>
      <c r="G983" t="s">
        <v>24</v>
      </c>
      <c r="H983">
        <f>67625*(1.01^10)</f>
        <v>74700.071230932721</v>
      </c>
      <c r="I983">
        <f>456043*(1.01^10)</f>
        <v>503755.18793890206</v>
      </c>
      <c r="J983" t="s">
        <v>3599</v>
      </c>
      <c r="K983">
        <f t="shared" si="15"/>
        <v>1095.7749201311365</v>
      </c>
    </row>
    <row r="984" spans="1:11" x14ac:dyDescent="0.2">
      <c r="A984" t="s">
        <v>2679</v>
      </c>
      <c r="B984" t="s">
        <v>352</v>
      </c>
      <c r="C984" t="s">
        <v>3600</v>
      </c>
      <c r="D984" t="s">
        <v>3601</v>
      </c>
      <c r="E984" t="s">
        <v>1744</v>
      </c>
      <c r="F984" t="s">
        <v>744</v>
      </c>
      <c r="G984" t="s">
        <v>17</v>
      </c>
      <c r="H984">
        <f>109524*(1.01^10)</f>
        <v>120982.63366353679</v>
      </c>
      <c r="I984">
        <f>736209*(1.01^10)</f>
        <v>813232.75032685767</v>
      </c>
      <c r="J984" t="s">
        <v>3602</v>
      </c>
      <c r="K984">
        <f t="shared" si="15"/>
        <v>1001.819793089613</v>
      </c>
    </row>
    <row r="985" spans="1:11" x14ac:dyDescent="0.2">
      <c r="A985" t="s">
        <v>2679</v>
      </c>
      <c r="B985" t="s">
        <v>352</v>
      </c>
      <c r="C985" t="s">
        <v>3603</v>
      </c>
      <c r="D985" t="s">
        <v>3604</v>
      </c>
      <c r="E985" t="s">
        <v>3012</v>
      </c>
      <c r="F985" t="s">
        <v>77</v>
      </c>
      <c r="G985" t="s">
        <v>92</v>
      </c>
      <c r="H985">
        <f>154845*(1.01^10)</f>
        <v>171045.21300929799</v>
      </c>
      <c r="I985">
        <f>1075544*(1.01^10)</f>
        <v>1188069.6992532688</v>
      </c>
      <c r="J985" t="s">
        <v>3605</v>
      </c>
      <c r="K985">
        <f t="shared" si="15"/>
        <v>1671.4031380122196</v>
      </c>
    </row>
    <row r="986" spans="1:11" x14ac:dyDescent="0.2">
      <c r="A986" t="s">
        <v>2679</v>
      </c>
      <c r="B986" t="s">
        <v>352</v>
      </c>
      <c r="C986" t="s">
        <v>3606</v>
      </c>
      <c r="D986" t="s">
        <v>3607</v>
      </c>
      <c r="E986" t="s">
        <v>1775</v>
      </c>
      <c r="F986" t="s">
        <v>1656</v>
      </c>
      <c r="G986" t="s">
        <v>17</v>
      </c>
      <c r="H986">
        <f>120315*(1.01^10)</f>
        <v>132902.6110188491</v>
      </c>
      <c r="I986">
        <f>800862*(1.01^10)</f>
        <v>884649.88460106822</v>
      </c>
      <c r="J986" t="s">
        <v>3608</v>
      </c>
      <c r="K986">
        <f t="shared" si="15"/>
        <v>1167.5941421899131</v>
      </c>
    </row>
    <row r="987" spans="1:11" x14ac:dyDescent="0.2">
      <c r="A987" t="s">
        <v>2679</v>
      </c>
      <c r="B987" t="s">
        <v>352</v>
      </c>
      <c r="C987" t="s">
        <v>3609</v>
      </c>
      <c r="D987" t="s">
        <v>3610</v>
      </c>
      <c r="E987" t="s">
        <v>2103</v>
      </c>
      <c r="F987" t="s">
        <v>11</v>
      </c>
      <c r="G987" t="s">
        <v>17</v>
      </c>
      <c r="H987">
        <f>102139*(1.01^10)</f>
        <v>112824.99926737504</v>
      </c>
      <c r="I987">
        <f>663552*(1.01^10)</f>
        <v>732974.2205608557</v>
      </c>
      <c r="J987" t="s">
        <v>3611</v>
      </c>
      <c r="K987">
        <f t="shared" si="15"/>
        <v>1235.0770026656601</v>
      </c>
    </row>
    <row r="988" spans="1:11" x14ac:dyDescent="0.2">
      <c r="A988" t="s">
        <v>2679</v>
      </c>
      <c r="B988" t="s">
        <v>444</v>
      </c>
      <c r="C988" t="s">
        <v>3612</v>
      </c>
      <c r="D988" t="s">
        <v>3613</v>
      </c>
      <c r="E988" t="s">
        <v>3614</v>
      </c>
      <c r="F988" t="s">
        <v>1362</v>
      </c>
      <c r="G988" t="s">
        <v>12</v>
      </c>
      <c r="H988">
        <f>80389*(1.01^10)</f>
        <v>88799.468039681335</v>
      </c>
      <c r="I988">
        <f>547798*(1.01^10)</f>
        <v>605109.79105600715</v>
      </c>
      <c r="J988" t="s">
        <v>3615</v>
      </c>
      <c r="K988">
        <f t="shared" si="15"/>
        <v>1098.8634702819879</v>
      </c>
    </row>
    <row r="989" spans="1:11" x14ac:dyDescent="0.2">
      <c r="A989" t="s">
        <v>2679</v>
      </c>
      <c r="B989" t="s">
        <v>444</v>
      </c>
      <c r="C989" t="s">
        <v>3616</v>
      </c>
      <c r="D989" t="s">
        <v>3617</v>
      </c>
      <c r="E989" t="s">
        <v>3261</v>
      </c>
      <c r="F989" t="s">
        <v>67</v>
      </c>
      <c r="G989" t="s">
        <v>12</v>
      </c>
      <c r="H989">
        <f>89022*(1.01^10)</f>
        <v>98335.670848356269</v>
      </c>
      <c r="I989">
        <f>603470*(1.01^10)</f>
        <v>666606.31402189971</v>
      </c>
      <c r="J989" t="s">
        <v>3618</v>
      </c>
      <c r="K989">
        <f t="shared" si="15"/>
        <v>1179.7983611387783</v>
      </c>
    </row>
    <row r="990" spans="1:11" x14ac:dyDescent="0.2">
      <c r="A990" t="s">
        <v>2679</v>
      </c>
      <c r="B990" t="s">
        <v>444</v>
      </c>
      <c r="C990" t="s">
        <v>3619</v>
      </c>
      <c r="D990" t="s">
        <v>3620</v>
      </c>
      <c r="E990" t="s">
        <v>2875</v>
      </c>
      <c r="F990" t="s">
        <v>484</v>
      </c>
      <c r="G990" t="s">
        <v>17</v>
      </c>
      <c r="H990">
        <f>127961*(1.01^10)</f>
        <v>141348.55178974316</v>
      </c>
      <c r="I990">
        <f>839883*(1.01^10)</f>
        <v>927753.34455673886</v>
      </c>
      <c r="J990" t="s">
        <v>3621</v>
      </c>
      <c r="K990">
        <f t="shared" si="15"/>
        <v>1368.2885034859303</v>
      </c>
    </row>
    <row r="991" spans="1:11" x14ac:dyDescent="0.2">
      <c r="A991" t="s">
        <v>2679</v>
      </c>
      <c r="B991" t="s">
        <v>444</v>
      </c>
      <c r="C991" t="s">
        <v>3622</v>
      </c>
      <c r="D991" t="s">
        <v>3623</v>
      </c>
      <c r="E991" t="s">
        <v>3624</v>
      </c>
      <c r="F991" t="s">
        <v>1350</v>
      </c>
      <c r="G991" t="s">
        <v>17</v>
      </c>
      <c r="H991">
        <f>145379*(1.01^10)</f>
        <v>160588.85997015552</v>
      </c>
      <c r="I991">
        <f>914817*(1.01^10)</f>
        <v>1010527.0989023021</v>
      </c>
      <c r="J991" t="s">
        <v>3625</v>
      </c>
      <c r="K991">
        <f t="shared" si="15"/>
        <v>1161.5276688670112</v>
      </c>
    </row>
    <row r="992" spans="1:11" x14ac:dyDescent="0.2">
      <c r="A992" t="s">
        <v>2679</v>
      </c>
      <c r="B992" t="s">
        <v>444</v>
      </c>
      <c r="C992" t="s">
        <v>3626</v>
      </c>
      <c r="D992" t="s">
        <v>3627</v>
      </c>
      <c r="E992" t="s">
        <v>3628</v>
      </c>
      <c r="F992" t="s">
        <v>1002</v>
      </c>
      <c r="G992" t="s">
        <v>17</v>
      </c>
      <c r="H992">
        <f>103913*(1.01^10)</f>
        <v>114784.59891785451</v>
      </c>
      <c r="I992">
        <f>714300*(1.01^10)</f>
        <v>789031.58418122353</v>
      </c>
      <c r="J992" t="s">
        <v>3629</v>
      </c>
      <c r="K992">
        <f t="shared" si="15"/>
        <v>1106.2065170976964</v>
      </c>
    </row>
    <row r="993" spans="1:11" x14ac:dyDescent="0.2">
      <c r="A993" t="s">
        <v>2679</v>
      </c>
      <c r="B993" t="s">
        <v>10</v>
      </c>
      <c r="C993" t="s">
        <v>3630</v>
      </c>
      <c r="D993" t="s">
        <v>3631</v>
      </c>
      <c r="E993" t="s">
        <v>105</v>
      </c>
      <c r="F993" t="s">
        <v>47</v>
      </c>
      <c r="G993" t="s">
        <v>12</v>
      </c>
      <c r="H993">
        <f>99708*(1.01^10)</f>
        <v>110139.6628805004</v>
      </c>
      <c r="I993">
        <f>691346*(1.01^10)</f>
        <v>763676.08791453473</v>
      </c>
      <c r="J993" t="s">
        <v>3632</v>
      </c>
      <c r="K993">
        <f t="shared" si="15"/>
        <v>1154.1001817400645</v>
      </c>
    </row>
    <row r="994" spans="1:11" x14ac:dyDescent="0.2">
      <c r="A994" t="s">
        <v>2679</v>
      </c>
      <c r="B994" t="s">
        <v>10</v>
      </c>
      <c r="C994" t="s">
        <v>3633</v>
      </c>
      <c r="D994" t="s">
        <v>3634</v>
      </c>
      <c r="E994" t="s">
        <v>3635</v>
      </c>
      <c r="F994" t="s">
        <v>1589</v>
      </c>
      <c r="G994" t="s">
        <v>744</v>
      </c>
      <c r="H994">
        <f>127061*(1.01^10)</f>
        <v>140354.39187687309</v>
      </c>
      <c r="I994">
        <f>834724*(1.01^10)</f>
        <v>922054.59901174251</v>
      </c>
      <c r="J994" t="s">
        <v>3636</v>
      </c>
      <c r="K994">
        <f t="shared" si="15"/>
        <v>1418.1860884295293</v>
      </c>
    </row>
    <row r="995" spans="1:11" x14ac:dyDescent="0.2">
      <c r="A995" t="s">
        <v>2679</v>
      </c>
      <c r="B995" t="s">
        <v>10</v>
      </c>
      <c r="C995" t="s">
        <v>3637</v>
      </c>
      <c r="D995" t="s">
        <v>3638</v>
      </c>
      <c r="E995" t="s">
        <v>1762</v>
      </c>
      <c r="F995" t="s">
        <v>287</v>
      </c>
      <c r="G995" t="s">
        <v>12</v>
      </c>
      <c r="H995">
        <f>70035*(1.01^10)</f>
        <v>77362.210553173718</v>
      </c>
      <c r="I995">
        <f>426686*(1.01^10)</f>
        <v>471326.7962032053</v>
      </c>
      <c r="J995" t="s">
        <v>3639</v>
      </c>
      <c r="K995">
        <f t="shared" si="15"/>
        <v>383.46744115960217</v>
      </c>
    </row>
    <row r="996" spans="1:11" x14ac:dyDescent="0.2">
      <c r="A996" t="s">
        <v>2679</v>
      </c>
      <c r="B996" t="s">
        <v>157</v>
      </c>
      <c r="C996" t="s">
        <v>3640</v>
      </c>
      <c r="D996" t="s">
        <v>3641</v>
      </c>
      <c r="E996" t="s">
        <v>1585</v>
      </c>
      <c r="F996" t="s">
        <v>152</v>
      </c>
      <c r="G996" t="s">
        <v>12</v>
      </c>
      <c r="H996">
        <f>92593*(1.01^10)</f>
        <v>102280.27645819967</v>
      </c>
      <c r="I996">
        <f>627298*(1.01^10)</f>
        <v>692927.25002619787</v>
      </c>
      <c r="J996" t="s">
        <v>3642</v>
      </c>
      <c r="K996">
        <f t="shared" si="15"/>
        <v>997.56114711729606</v>
      </c>
    </row>
    <row r="997" spans="1:11" x14ac:dyDescent="0.2">
      <c r="A997" t="s">
        <v>2679</v>
      </c>
      <c r="B997" t="s">
        <v>157</v>
      </c>
      <c r="C997" t="s">
        <v>3643</v>
      </c>
      <c r="D997" t="s">
        <v>3644</v>
      </c>
      <c r="E997" t="s">
        <v>3645</v>
      </c>
      <c r="F997" t="s">
        <v>220</v>
      </c>
      <c r="G997" t="s">
        <v>142</v>
      </c>
      <c r="H997">
        <f>467569*(1.01^10)</f>
        <v>516487.06255639158</v>
      </c>
      <c r="I997">
        <f>3049543*(1.01^10)</f>
        <v>3368592.6701928615</v>
      </c>
      <c r="J997" t="s">
        <v>3646</v>
      </c>
      <c r="K997">
        <f t="shared" si="15"/>
        <v>4008.4278360242402</v>
      </c>
    </row>
    <row r="998" spans="1:11" x14ac:dyDescent="0.2">
      <c r="A998" t="s">
        <v>2679</v>
      </c>
      <c r="B998" t="s">
        <v>284</v>
      </c>
      <c r="C998" t="s">
        <v>3647</v>
      </c>
      <c r="D998" t="s">
        <v>3648</v>
      </c>
      <c r="E998" t="s">
        <v>3106</v>
      </c>
      <c r="F998" t="s">
        <v>61</v>
      </c>
      <c r="G998" t="s">
        <v>5</v>
      </c>
      <c r="H998">
        <f>81344*(1.01^10)</f>
        <v>89854.382169449033</v>
      </c>
      <c r="I998">
        <f>568985*(1.01^10)</f>
        <v>628513.42002709431</v>
      </c>
      <c r="J998" t="s">
        <v>3649</v>
      </c>
      <c r="K998">
        <f t="shared" si="15"/>
        <v>1782.7361464257187</v>
      </c>
    </row>
    <row r="999" spans="1:11" x14ac:dyDescent="0.2">
      <c r="A999" t="s">
        <v>2679</v>
      </c>
      <c r="B999" t="s">
        <v>284</v>
      </c>
      <c r="C999" t="s">
        <v>3651</v>
      </c>
      <c r="D999" t="s">
        <v>3652</v>
      </c>
      <c r="E999" t="s">
        <v>1029</v>
      </c>
      <c r="F999" t="s">
        <v>537</v>
      </c>
      <c r="G999" t="s">
        <v>5</v>
      </c>
      <c r="H999">
        <f>78929*(1.01^10)</f>
        <v>87186.719736580984</v>
      </c>
      <c r="I999">
        <f>567801*(1.01^10)</f>
        <v>627205.54743060749</v>
      </c>
      <c r="J999" t="s">
        <v>3653</v>
      </c>
      <c r="K999">
        <f t="shared" si="15"/>
        <v>1561.8058131175767</v>
      </c>
    </row>
    <row r="1000" spans="1:11" x14ac:dyDescent="0.2">
      <c r="A1000" t="s">
        <v>2679</v>
      </c>
      <c r="B1000" t="s">
        <v>284</v>
      </c>
      <c r="C1000" t="s">
        <v>3654</v>
      </c>
      <c r="D1000" t="s">
        <v>3655</v>
      </c>
      <c r="E1000" t="s">
        <v>79</v>
      </c>
      <c r="F1000" t="s">
        <v>142</v>
      </c>
      <c r="G1000" t="s">
        <v>11</v>
      </c>
      <c r="H1000">
        <f>62130*(1.01^10)</f>
        <v>68630.172651798144</v>
      </c>
      <c r="I1000">
        <f>441427*(1.01^10)</f>
        <v>487610.03095389187</v>
      </c>
      <c r="J1000" t="s">
        <v>3656</v>
      </c>
      <c r="K1000">
        <f t="shared" si="15"/>
        <v>1869.2486428817163</v>
      </c>
    </row>
    <row r="1001" spans="1:11" x14ac:dyDescent="0.2">
      <c r="A1001" t="s">
        <v>2679</v>
      </c>
      <c r="B1001" t="s">
        <v>814</v>
      </c>
      <c r="C1001" t="s">
        <v>3657</v>
      </c>
      <c r="D1001" t="s">
        <v>3658</v>
      </c>
      <c r="E1001" t="s">
        <v>3147</v>
      </c>
      <c r="F1001" t="s">
        <v>394</v>
      </c>
      <c r="G1001" t="s">
        <v>6</v>
      </c>
      <c r="H1001">
        <f>177559*(1.01^10)</f>
        <v>196135.5999658881</v>
      </c>
      <c r="I1001">
        <f>1177317*(1.01^10)</f>
        <v>1300490.4068227434</v>
      </c>
      <c r="J1001" t="s">
        <v>3659</v>
      </c>
      <c r="K1001">
        <f t="shared" si="15"/>
        <v>1121.360976009094</v>
      </c>
    </row>
    <row r="1002" spans="1:11" x14ac:dyDescent="0.2">
      <c r="A1002" t="s">
        <v>2679</v>
      </c>
      <c r="B1002" t="s">
        <v>814</v>
      </c>
      <c r="C1002" t="s">
        <v>3661</v>
      </c>
      <c r="D1002" t="s">
        <v>3558</v>
      </c>
      <c r="E1002" t="s">
        <v>926</v>
      </c>
      <c r="F1002" t="s">
        <v>674</v>
      </c>
      <c r="G1002" t="s">
        <v>24</v>
      </c>
      <c r="H1002">
        <f>58916*(1.01^10)</f>
        <v>65079.917140726538</v>
      </c>
      <c r="I1002">
        <f>367080*(1.01^10)</f>
        <v>405484.68979594501</v>
      </c>
      <c r="J1002" t="s">
        <v>3662</v>
      </c>
      <c r="K1002">
        <f t="shared" si="15"/>
        <v>301.54058987643833</v>
      </c>
    </row>
    <row r="1003" spans="1:11" x14ac:dyDescent="0.2">
      <c r="A1003" t="s">
        <v>2679</v>
      </c>
      <c r="B1003" t="s">
        <v>814</v>
      </c>
      <c r="C1003" t="s">
        <v>3663</v>
      </c>
      <c r="D1003" t="s">
        <v>3664</v>
      </c>
      <c r="E1003" t="s">
        <v>738</v>
      </c>
      <c r="F1003" t="s">
        <v>405</v>
      </c>
      <c r="G1003" t="s">
        <v>24</v>
      </c>
      <c r="H1003">
        <f>41584*(1.01^10)</f>
        <v>45934.606463099539</v>
      </c>
      <c r="I1003">
        <f>241128*(1.01^10)</f>
        <v>266355.323856153</v>
      </c>
      <c r="J1003" t="s">
        <v>3665</v>
      </c>
      <c r="K1003">
        <f t="shared" si="15"/>
        <v>308.46432678780349</v>
      </c>
    </row>
    <row r="1004" spans="1:11" x14ac:dyDescent="0.2">
      <c r="A1004" t="s">
        <v>2679</v>
      </c>
      <c r="B1004" t="s">
        <v>814</v>
      </c>
      <c r="C1004" t="s">
        <v>3666</v>
      </c>
      <c r="D1004" t="s">
        <v>3667</v>
      </c>
      <c r="E1004" t="s">
        <v>3553</v>
      </c>
      <c r="F1004" t="s">
        <v>498</v>
      </c>
      <c r="G1004" t="s">
        <v>11</v>
      </c>
      <c r="H1004">
        <f>116866*(1.01^10)</f>
        <v>129092.76930830585</v>
      </c>
      <c r="I1004">
        <f>711445*(1.01^10)</f>
        <v>785877.88801317452</v>
      </c>
      <c r="J1004" t="s">
        <v>3668</v>
      </c>
      <c r="K1004">
        <f t="shared" si="15"/>
        <v>757.79614284030754</v>
      </c>
    </row>
    <row r="1005" spans="1:11" x14ac:dyDescent="0.2">
      <c r="A1005" t="s">
        <v>2679</v>
      </c>
      <c r="B1005" t="s">
        <v>495</v>
      </c>
      <c r="C1005" t="s">
        <v>3669</v>
      </c>
      <c r="D1005" t="s">
        <v>3670</v>
      </c>
      <c r="E1005" t="s">
        <v>2003</v>
      </c>
      <c r="F1005" t="s">
        <v>11</v>
      </c>
      <c r="G1005" t="s">
        <v>12</v>
      </c>
      <c r="H1005">
        <f>49110*(1.01^10)</f>
        <v>54247.992578944264</v>
      </c>
      <c r="I1005">
        <f>290546*(1.01^10)</f>
        <v>320943.54004972387</v>
      </c>
      <c r="J1005" t="s">
        <v>3671</v>
      </c>
      <c r="K1005">
        <f t="shared" si="15"/>
        <v>373.79657701752052</v>
      </c>
    </row>
    <row r="1006" spans="1:11" x14ac:dyDescent="0.2">
      <c r="A1006" t="s">
        <v>2679</v>
      </c>
      <c r="B1006" t="s">
        <v>495</v>
      </c>
      <c r="C1006" t="s">
        <v>3672</v>
      </c>
      <c r="D1006" t="s">
        <v>3673</v>
      </c>
      <c r="E1006" t="s">
        <v>3674</v>
      </c>
      <c r="F1006" t="s">
        <v>61</v>
      </c>
      <c r="G1006" t="s">
        <v>92</v>
      </c>
      <c r="H1006">
        <f>158620*(1.01^10)</f>
        <v>175215.16153272529</v>
      </c>
      <c r="I1006">
        <f>901830*(1.01^10)</f>
        <v>996181.37135958683</v>
      </c>
      <c r="J1006" t="s">
        <v>3675</v>
      </c>
      <c r="K1006">
        <f t="shared" si="15"/>
        <v>296.81725623295483</v>
      </c>
    </row>
    <row r="1007" spans="1:11" x14ac:dyDescent="0.2">
      <c r="A1007" t="s">
        <v>2679</v>
      </c>
      <c r="B1007" t="s">
        <v>495</v>
      </c>
      <c r="C1007" t="s">
        <v>3677</v>
      </c>
      <c r="D1007" t="s">
        <v>3678</v>
      </c>
      <c r="E1007" t="s">
        <v>1658</v>
      </c>
      <c r="F1007" t="s">
        <v>382</v>
      </c>
      <c r="G1007" t="s">
        <v>382</v>
      </c>
      <c r="H1007">
        <f>125444*(1.01^10)</f>
        <v>138568.21790008317</v>
      </c>
      <c r="I1007">
        <f>670183*(1.01^10)</f>
        <v>740298.96987445746</v>
      </c>
      <c r="J1007" t="s">
        <v>3679</v>
      </c>
      <c r="K1007">
        <f t="shared" si="15"/>
        <v>275.1853108577053</v>
      </c>
    </row>
    <row r="1008" spans="1:11" x14ac:dyDescent="0.2">
      <c r="A1008" t="s">
        <v>2679</v>
      </c>
      <c r="B1008" t="s">
        <v>798</v>
      </c>
      <c r="C1008" t="s">
        <v>3680</v>
      </c>
      <c r="D1008" t="s">
        <v>3681</v>
      </c>
      <c r="E1008" t="s">
        <v>1263</v>
      </c>
      <c r="F1008" t="s">
        <v>744</v>
      </c>
      <c r="G1008" t="s">
        <v>11</v>
      </c>
      <c r="H1008">
        <f>76283*(1.01^10)</f>
        <v>84263.889592742926</v>
      </c>
      <c r="I1008">
        <f>485387*(1.01^10)</f>
        <v>536169.21958696842</v>
      </c>
      <c r="J1008" t="s">
        <v>3682</v>
      </c>
      <c r="K1008">
        <f t="shared" si="15"/>
        <v>821.21977045788594</v>
      </c>
    </row>
    <row r="1009" spans="1:11" x14ac:dyDescent="0.2">
      <c r="A1009" t="s">
        <v>2679</v>
      </c>
      <c r="B1009" t="s">
        <v>798</v>
      </c>
      <c r="C1009" t="s">
        <v>3683</v>
      </c>
      <c r="D1009" t="s">
        <v>3684</v>
      </c>
      <c r="E1009" t="s">
        <v>3536</v>
      </c>
      <c r="F1009" t="s">
        <v>445</v>
      </c>
      <c r="G1009" t="s">
        <v>92</v>
      </c>
      <c r="H1009">
        <f>156324*(1.01^10)</f>
        <v>172678.94913278118</v>
      </c>
      <c r="I1009">
        <f>937536*(1.01^10)</f>
        <v>1035623.0089695193</v>
      </c>
      <c r="J1009" t="s">
        <v>3685</v>
      </c>
      <c r="K1009">
        <f t="shared" si="15"/>
        <v>828.61691008477169</v>
      </c>
    </row>
    <row r="1010" spans="1:11" x14ac:dyDescent="0.2">
      <c r="A1010" t="s">
        <v>2679</v>
      </c>
      <c r="B1010" t="s">
        <v>798</v>
      </c>
      <c r="C1010" t="s">
        <v>3686</v>
      </c>
      <c r="D1010" t="s">
        <v>3687</v>
      </c>
      <c r="E1010" t="s">
        <v>2949</v>
      </c>
      <c r="F1010" t="s">
        <v>17</v>
      </c>
      <c r="G1010" t="s">
        <v>17</v>
      </c>
      <c r="H1010">
        <f>58076*(1.01^10)</f>
        <v>64152.034555381128</v>
      </c>
      <c r="I1010">
        <f>351557*(1.01^10)</f>
        <v>388337.64054318692</v>
      </c>
      <c r="J1010" t="s">
        <v>3688</v>
      </c>
      <c r="K1010">
        <f t="shared" si="15"/>
        <v>735.09873948265113</v>
      </c>
    </row>
    <row r="1011" spans="1:11" x14ac:dyDescent="0.2">
      <c r="A1011" t="s">
        <v>2679</v>
      </c>
      <c r="B1011" t="s">
        <v>740</v>
      </c>
      <c r="C1011" t="s">
        <v>3689</v>
      </c>
      <c r="D1011" t="s">
        <v>3690</v>
      </c>
      <c r="E1011" t="s">
        <v>1032</v>
      </c>
      <c r="F1011" t="s">
        <v>1340</v>
      </c>
      <c r="G1011" t="s">
        <v>11</v>
      </c>
      <c r="H1011">
        <f>94942*(1.01^10)</f>
        <v>104875.03383079061</v>
      </c>
      <c r="I1011">
        <f>559044*(1.01^10)</f>
        <v>617532.37147838157</v>
      </c>
      <c r="J1011" t="s">
        <v>3691</v>
      </c>
      <c r="K1011">
        <f t="shared" si="15"/>
        <v>1045.1169698645883</v>
      </c>
    </row>
    <row r="1012" spans="1:11" x14ac:dyDescent="0.2">
      <c r="A1012" t="s">
        <v>2679</v>
      </c>
      <c r="B1012" t="s">
        <v>740</v>
      </c>
      <c r="C1012" t="s">
        <v>3693</v>
      </c>
      <c r="D1012" t="s">
        <v>3694</v>
      </c>
      <c r="E1012" t="s">
        <v>3215</v>
      </c>
      <c r="F1012" t="s">
        <v>382</v>
      </c>
      <c r="G1012" t="s">
        <v>17</v>
      </c>
      <c r="H1012">
        <f>52943*(1.01^10)</f>
        <v>58482.009185645416</v>
      </c>
      <c r="I1012">
        <f>317355*(1.01^10)</f>
        <v>350557.35460987285</v>
      </c>
      <c r="J1012" t="s">
        <v>3695</v>
      </c>
      <c r="K1012">
        <f t="shared" si="15"/>
        <v>742.42259119977882</v>
      </c>
    </row>
    <row r="1013" spans="1:11" x14ac:dyDescent="0.2">
      <c r="A1013" t="s">
        <v>2679</v>
      </c>
      <c r="B1013" t="s">
        <v>740</v>
      </c>
      <c r="C1013" t="s">
        <v>3696</v>
      </c>
      <c r="D1013" t="s">
        <v>3697</v>
      </c>
      <c r="E1013" t="s">
        <v>358</v>
      </c>
      <c r="F1013" t="s">
        <v>103</v>
      </c>
      <c r="G1013" t="s">
        <v>158</v>
      </c>
      <c r="H1013">
        <f>90018*(1.01^10)</f>
        <v>99435.874485265827</v>
      </c>
      <c r="I1013">
        <f>560320*(1.01^10)</f>
        <v>618941.86931040627</v>
      </c>
      <c r="J1013" t="s">
        <v>3698</v>
      </c>
      <c r="K1013">
        <f t="shared" si="15"/>
        <v>693.92513988122164</v>
      </c>
    </row>
    <row r="1014" spans="1:11" x14ac:dyDescent="0.2">
      <c r="A1014" t="s">
        <v>405</v>
      </c>
      <c r="B1014" t="s">
        <v>342</v>
      </c>
      <c r="C1014" t="s">
        <v>3700</v>
      </c>
      <c r="D1014" t="s">
        <v>3701</v>
      </c>
      <c r="E1014" t="s">
        <v>1525</v>
      </c>
      <c r="F1014" t="s">
        <v>44</v>
      </c>
      <c r="G1014" t="s">
        <v>24</v>
      </c>
      <c r="H1014">
        <f>55436*(1.01^10)</f>
        <v>61235.832144295549</v>
      </c>
      <c r="I1014">
        <f>309874*(1.01^10)</f>
        <v>342293.67648967163</v>
      </c>
      <c r="J1014" t="s">
        <v>3702</v>
      </c>
      <c r="K1014">
        <f t="shared" si="15"/>
        <v>391.35182528795281</v>
      </c>
    </row>
    <row r="1015" spans="1:11" x14ac:dyDescent="0.2">
      <c r="A1015" t="s">
        <v>405</v>
      </c>
      <c r="B1015" t="s">
        <v>342</v>
      </c>
      <c r="C1015" t="s">
        <v>3703</v>
      </c>
      <c r="D1015" t="s">
        <v>336</v>
      </c>
      <c r="E1015" t="s">
        <v>1010</v>
      </c>
      <c r="F1015" t="s">
        <v>313</v>
      </c>
      <c r="G1015" t="s">
        <v>12</v>
      </c>
      <c r="H1015">
        <f>46036*(1.01^10)</f>
        <v>50852.384165430223</v>
      </c>
      <c r="I1015">
        <f>249102*(1.01^10)</f>
        <v>275163.58068418194</v>
      </c>
      <c r="J1015" t="s">
        <v>3704</v>
      </c>
      <c r="K1015">
        <f t="shared" si="15"/>
        <v>412.83341984657</v>
      </c>
    </row>
    <row r="1016" spans="1:11" x14ac:dyDescent="0.2">
      <c r="A1016" t="s">
        <v>405</v>
      </c>
      <c r="B1016" t="s">
        <v>342</v>
      </c>
      <c r="C1016" t="s">
        <v>3705</v>
      </c>
      <c r="D1016" t="s">
        <v>3706</v>
      </c>
      <c r="E1016" t="s">
        <v>540</v>
      </c>
      <c r="F1016" t="s">
        <v>382</v>
      </c>
      <c r="G1016" t="s">
        <v>24</v>
      </c>
      <c r="H1016">
        <f>37289*(1.01^10)</f>
        <v>41190.254434458417</v>
      </c>
      <c r="I1016">
        <f>208169*(1.01^10)</f>
        <v>229948.08322472509</v>
      </c>
      <c r="J1016" t="s">
        <v>3707</v>
      </c>
      <c r="K1016">
        <f t="shared" si="15"/>
        <v>489.99930880921318</v>
      </c>
    </row>
    <row r="1017" spans="1:11" x14ac:dyDescent="0.2">
      <c r="A1017" t="s">
        <v>405</v>
      </c>
      <c r="B1017" t="s">
        <v>342</v>
      </c>
      <c r="C1017" t="s">
        <v>3708</v>
      </c>
      <c r="D1017" t="s">
        <v>3709</v>
      </c>
      <c r="E1017" t="s">
        <v>589</v>
      </c>
      <c r="F1017" t="s">
        <v>5</v>
      </c>
      <c r="G1017" t="s">
        <v>24</v>
      </c>
      <c r="H1017">
        <f>34349*(1.01^10)</f>
        <v>37942.665385749475</v>
      </c>
      <c r="I1017">
        <f>190744*(1.01^10)</f>
        <v>210700.04268943483</v>
      </c>
      <c r="J1017" t="s">
        <v>3710</v>
      </c>
      <c r="K1017">
        <f t="shared" si="15"/>
        <v>875.24425075736747</v>
      </c>
    </row>
    <row r="1018" spans="1:11" x14ac:dyDescent="0.2">
      <c r="A1018" t="s">
        <v>405</v>
      </c>
      <c r="B1018" t="s">
        <v>342</v>
      </c>
      <c r="C1018" t="s">
        <v>3712</v>
      </c>
      <c r="D1018" t="s">
        <v>3713</v>
      </c>
      <c r="E1018" t="s">
        <v>1446</v>
      </c>
      <c r="F1018" t="s">
        <v>382</v>
      </c>
      <c r="G1018" t="s">
        <v>12</v>
      </c>
      <c r="H1018">
        <f>68915*(1.01^10)</f>
        <v>76125.03377271317</v>
      </c>
      <c r="I1018">
        <f>377842*(1.01^10)</f>
        <v>417372.63310962042</v>
      </c>
      <c r="J1018" t="s">
        <v>3714</v>
      </c>
      <c r="K1018">
        <f t="shared" si="15"/>
        <v>1180.2011688980785</v>
      </c>
    </row>
    <row r="1019" spans="1:11" x14ac:dyDescent="0.2">
      <c r="A1019" t="s">
        <v>405</v>
      </c>
      <c r="B1019" t="s">
        <v>342</v>
      </c>
      <c r="C1019" t="s">
        <v>3715</v>
      </c>
      <c r="D1019" t="s">
        <v>3716</v>
      </c>
      <c r="E1019" t="s">
        <v>589</v>
      </c>
      <c r="F1019" t="s">
        <v>11</v>
      </c>
      <c r="G1019" t="s">
        <v>24</v>
      </c>
      <c r="H1019">
        <f>41593*(1.01^10)</f>
        <v>45944.548062228241</v>
      </c>
      <c r="I1019">
        <f>230162*(1.01^10)</f>
        <v>254242.03762889371</v>
      </c>
      <c r="J1019" t="s">
        <v>3717</v>
      </c>
      <c r="K1019">
        <f t="shared" si="15"/>
        <v>1237.4439818077681</v>
      </c>
    </row>
    <row r="1020" spans="1:11" x14ac:dyDescent="0.2">
      <c r="A1020" t="s">
        <v>405</v>
      </c>
      <c r="B1020" t="s">
        <v>342</v>
      </c>
      <c r="C1020" t="s">
        <v>3718</v>
      </c>
      <c r="D1020" t="s">
        <v>3719</v>
      </c>
      <c r="E1020" t="s">
        <v>560</v>
      </c>
      <c r="F1020" t="s">
        <v>274</v>
      </c>
      <c r="G1020" t="s">
        <v>12</v>
      </c>
      <c r="H1020">
        <f>71834*(1.01^10)</f>
        <v>79349.425756788478</v>
      </c>
      <c r="I1020">
        <f>398000*(1.01^10)</f>
        <v>439639.6059136595</v>
      </c>
      <c r="J1020" t="s">
        <v>3720</v>
      </c>
      <c r="K1020">
        <f t="shared" si="15"/>
        <v>1158.712616206951</v>
      </c>
    </row>
    <row r="1021" spans="1:11" x14ac:dyDescent="0.2">
      <c r="A1021" t="s">
        <v>405</v>
      </c>
      <c r="B1021" t="s">
        <v>342</v>
      </c>
      <c r="C1021" t="s">
        <v>3721</v>
      </c>
      <c r="D1021" t="s">
        <v>3722</v>
      </c>
      <c r="E1021" t="s">
        <v>11</v>
      </c>
      <c r="F1021" t="s">
        <v>24</v>
      </c>
      <c r="G1021" t="s">
        <v>24</v>
      </c>
      <c r="H1021">
        <f>6357*(1.01^10)</f>
        <v>7022.082851239029</v>
      </c>
      <c r="I1021">
        <f>38592*(1.01^10)</f>
        <v>42629.577063869212</v>
      </c>
      <c r="J1021" t="s">
        <v>3723</v>
      </c>
      <c r="K1021">
        <f t="shared" si="15"/>
        <v>277.91883460143885</v>
      </c>
    </row>
    <row r="1022" spans="1:11" x14ac:dyDescent="0.2">
      <c r="A1022" t="s">
        <v>405</v>
      </c>
      <c r="B1022" t="s">
        <v>342</v>
      </c>
      <c r="C1022" t="s">
        <v>3724</v>
      </c>
      <c r="D1022" t="s">
        <v>3725</v>
      </c>
      <c r="E1022" t="s">
        <v>1340</v>
      </c>
      <c r="F1022" t="s">
        <v>744</v>
      </c>
      <c r="G1022" t="s">
        <v>24</v>
      </c>
      <c r="H1022">
        <f>14613*(1.01^10)</f>
        <v>16141.843118633935</v>
      </c>
      <c r="I1022">
        <f>89608*(1.01^10)</f>
        <v>98982.979413847235</v>
      </c>
      <c r="J1022" t="s">
        <v>3726</v>
      </c>
      <c r="K1022">
        <f t="shared" si="15"/>
        <v>658.20058445665381</v>
      </c>
    </row>
    <row r="1023" spans="1:11" x14ac:dyDescent="0.2">
      <c r="A1023" t="s">
        <v>405</v>
      </c>
      <c r="B1023" t="s">
        <v>342</v>
      </c>
      <c r="C1023" t="s">
        <v>3728</v>
      </c>
      <c r="D1023" t="s">
        <v>3729</v>
      </c>
      <c r="E1023" t="s">
        <v>1340</v>
      </c>
      <c r="F1023" t="s">
        <v>17</v>
      </c>
      <c r="G1023" t="s">
        <v>24</v>
      </c>
      <c r="H1023">
        <f>10307*(1.01^10)</f>
        <v>11385.340246613287</v>
      </c>
      <c r="I1023">
        <f>66203*(1.01^10)</f>
        <v>73129.298568597995</v>
      </c>
      <c r="J1023" t="s">
        <v>3730</v>
      </c>
      <c r="K1023">
        <f t="shared" si="15"/>
        <v>534.52105384132199</v>
      </c>
    </row>
    <row r="1024" spans="1:11" x14ac:dyDescent="0.2">
      <c r="A1024" t="s">
        <v>405</v>
      </c>
      <c r="B1024" t="s">
        <v>342</v>
      </c>
      <c r="C1024" t="s">
        <v>3731</v>
      </c>
      <c r="D1024" t="s">
        <v>3732</v>
      </c>
      <c r="E1024" t="s">
        <v>405</v>
      </c>
      <c r="F1024" t="s">
        <v>11</v>
      </c>
      <c r="G1024" t="s">
        <v>24</v>
      </c>
      <c r="H1024">
        <f>9141*(1.01^10)</f>
        <v>10097.350848383823</v>
      </c>
      <c r="I1024">
        <f>52766*(1.01^10)</f>
        <v>58286.491069447628</v>
      </c>
      <c r="J1024" t="s">
        <v>3733</v>
      </c>
      <c r="K1024">
        <f t="shared" si="15"/>
        <v>409.11626736536181</v>
      </c>
    </row>
    <row r="1025" spans="1:11" x14ac:dyDescent="0.2">
      <c r="A1025" t="s">
        <v>405</v>
      </c>
      <c r="B1025" t="s">
        <v>342</v>
      </c>
      <c r="C1025" t="s">
        <v>3734</v>
      </c>
      <c r="D1025" t="s">
        <v>3735</v>
      </c>
      <c r="E1025" t="s">
        <v>28</v>
      </c>
      <c r="F1025" t="s">
        <v>11</v>
      </c>
      <c r="G1025" t="s">
        <v>24</v>
      </c>
      <c r="H1025">
        <f>42926*(1.01^10)</f>
        <v>47417.009355401373</v>
      </c>
      <c r="I1025">
        <f>243516*(1.01^10)</f>
        <v>268993.16149163491</v>
      </c>
      <c r="J1025" t="s">
        <v>3736</v>
      </c>
      <c r="K1025">
        <f t="shared" si="15"/>
        <v>1261.65487428405</v>
      </c>
    </row>
    <row r="1026" spans="1:11" x14ac:dyDescent="0.2">
      <c r="A1026" t="s">
        <v>405</v>
      </c>
      <c r="B1026" t="s">
        <v>342</v>
      </c>
      <c r="C1026" t="s">
        <v>3738</v>
      </c>
      <c r="D1026" t="s">
        <v>3739</v>
      </c>
      <c r="E1026" t="s">
        <v>1362</v>
      </c>
      <c r="F1026" t="s">
        <v>24</v>
      </c>
      <c r="G1026" t="s">
        <v>12</v>
      </c>
      <c r="H1026">
        <f>55529*(1.01^10)</f>
        <v>61338.562001958788</v>
      </c>
      <c r="I1026">
        <f>297748*(1.01^10)</f>
        <v>328899.02859693539</v>
      </c>
      <c r="J1026" t="s">
        <v>3740</v>
      </c>
      <c r="K1026">
        <f t="shared" si="15"/>
        <v>1261.4167297251267</v>
      </c>
    </row>
    <row r="1027" spans="1:11" x14ac:dyDescent="0.2">
      <c r="A1027" t="s">
        <v>405</v>
      </c>
      <c r="B1027" t="s">
        <v>342</v>
      </c>
      <c r="C1027" t="s">
        <v>3741</v>
      </c>
      <c r="D1027" t="s">
        <v>3742</v>
      </c>
      <c r="E1027" t="s">
        <v>51</v>
      </c>
      <c r="F1027" t="s">
        <v>12</v>
      </c>
      <c r="G1027" t="s">
        <v>24</v>
      </c>
      <c r="H1027">
        <f>34500*(1.01^10)</f>
        <v>38109.463326686564</v>
      </c>
      <c r="I1027">
        <f>189496*(1.01^10)</f>
        <v>209321.47427692165</v>
      </c>
      <c r="J1027" t="s">
        <v>3743</v>
      </c>
      <c r="K1027">
        <f t="shared" ref="K1027:K1090" si="16">I1027/J1027</f>
        <v>1075.4195678255062</v>
      </c>
    </row>
    <row r="1028" spans="1:11" x14ac:dyDescent="0.2">
      <c r="A1028" t="s">
        <v>405</v>
      </c>
      <c r="B1028" t="s">
        <v>342</v>
      </c>
      <c r="C1028" t="s">
        <v>3745</v>
      </c>
      <c r="D1028" t="s">
        <v>3746</v>
      </c>
      <c r="E1028" t="s">
        <v>1589</v>
      </c>
      <c r="F1028" t="s">
        <v>11</v>
      </c>
      <c r="G1028" t="s">
        <v>24</v>
      </c>
      <c r="H1028">
        <f>57736*(1.01^10)</f>
        <v>63776.463032741318</v>
      </c>
      <c r="I1028">
        <f>329347*(1.01^10)</f>
        <v>363803.98313780403</v>
      </c>
      <c r="J1028" t="s">
        <v>3747</v>
      </c>
      <c r="K1028">
        <f t="shared" si="16"/>
        <v>1250.7238997404452</v>
      </c>
    </row>
    <row r="1029" spans="1:11" x14ac:dyDescent="0.2">
      <c r="A1029" t="s">
        <v>405</v>
      </c>
      <c r="B1029" t="s">
        <v>342</v>
      </c>
      <c r="C1029" t="s">
        <v>3748</v>
      </c>
      <c r="D1029" t="s">
        <v>3749</v>
      </c>
      <c r="E1029" t="s">
        <v>318</v>
      </c>
      <c r="F1029" t="s">
        <v>12</v>
      </c>
      <c r="G1029" t="s">
        <v>11</v>
      </c>
      <c r="H1029">
        <f>41133*(1.01^10)</f>
        <v>45436.421884539086</v>
      </c>
      <c r="I1029">
        <f>224200*(1.01^10)</f>
        <v>247656.28051719209</v>
      </c>
      <c r="J1029" t="s">
        <v>3750</v>
      </c>
      <c r="K1029">
        <f t="shared" si="16"/>
        <v>3635.2329201921152</v>
      </c>
    </row>
    <row r="1030" spans="1:11" x14ac:dyDescent="0.2">
      <c r="A1030" t="s">
        <v>405</v>
      </c>
      <c r="B1030" t="s">
        <v>342</v>
      </c>
      <c r="C1030" t="s">
        <v>3751</v>
      </c>
      <c r="D1030" t="s">
        <v>3592</v>
      </c>
      <c r="E1030" t="s">
        <v>91</v>
      </c>
      <c r="F1030" t="s">
        <v>5</v>
      </c>
      <c r="G1030" t="s">
        <v>12</v>
      </c>
      <c r="H1030">
        <f>38100*(1.01^10)</f>
        <v>42086.102978166899</v>
      </c>
      <c r="I1030">
        <f>206098*(1.01^10)</f>
        <v>227660.41080299846</v>
      </c>
      <c r="J1030" t="s">
        <v>3752</v>
      </c>
      <c r="K1030">
        <f t="shared" si="16"/>
        <v>959.65625674469527</v>
      </c>
    </row>
    <row r="1031" spans="1:11" x14ac:dyDescent="0.2">
      <c r="A1031" t="s">
        <v>405</v>
      </c>
      <c r="B1031" t="s">
        <v>342</v>
      </c>
      <c r="C1031" t="s">
        <v>3753</v>
      </c>
      <c r="D1031" t="s">
        <v>3754</v>
      </c>
      <c r="E1031" t="s">
        <v>176</v>
      </c>
      <c r="F1031" t="s">
        <v>11</v>
      </c>
      <c r="G1031" t="s">
        <v>24</v>
      </c>
      <c r="H1031">
        <f>44667*(1.01^10)</f>
        <v>49340.156475742282</v>
      </c>
      <c r="I1031">
        <f>233575*(1.01^10)</f>
        <v>258012.11294292216</v>
      </c>
      <c r="J1031" t="s">
        <v>3755</v>
      </c>
      <c r="K1031">
        <f t="shared" si="16"/>
        <v>1354.9999817752589</v>
      </c>
    </row>
    <row r="1032" spans="1:11" x14ac:dyDescent="0.2">
      <c r="A1032" t="s">
        <v>405</v>
      </c>
      <c r="B1032" t="s">
        <v>624</v>
      </c>
      <c r="C1032" t="s">
        <v>3756</v>
      </c>
      <c r="D1032" t="s">
        <v>3757</v>
      </c>
      <c r="E1032" t="s">
        <v>185</v>
      </c>
      <c r="F1032" t="s">
        <v>17</v>
      </c>
      <c r="G1032" t="s">
        <v>12</v>
      </c>
      <c r="H1032">
        <f>41135*(1.01^10)</f>
        <v>45438.631128789908</v>
      </c>
      <c r="I1032">
        <f>232028*(1.01^10)</f>
        <v>256303.26251491101</v>
      </c>
      <c r="J1032" t="s">
        <v>3758</v>
      </c>
      <c r="K1032">
        <f t="shared" si="16"/>
        <v>1961.1262702395768</v>
      </c>
    </row>
    <row r="1033" spans="1:11" x14ac:dyDescent="0.2">
      <c r="A1033" t="s">
        <v>405</v>
      </c>
      <c r="B1033" t="s">
        <v>624</v>
      </c>
      <c r="C1033" t="s">
        <v>3759</v>
      </c>
      <c r="D1033" t="s">
        <v>3760</v>
      </c>
      <c r="E1033" t="s">
        <v>51</v>
      </c>
      <c r="F1033" t="s">
        <v>24</v>
      </c>
      <c r="G1033" t="s">
        <v>24</v>
      </c>
      <c r="H1033">
        <f>39818*(1.01^10)</f>
        <v>43983.843789623352</v>
      </c>
      <c r="I1033">
        <f>203513*(1.01^10)</f>
        <v>224804.96260881051</v>
      </c>
      <c r="J1033" t="s">
        <v>3761</v>
      </c>
      <c r="K1033">
        <f t="shared" si="16"/>
        <v>1418.7311183816851</v>
      </c>
    </row>
    <row r="1034" spans="1:11" x14ac:dyDescent="0.2">
      <c r="A1034" t="s">
        <v>405</v>
      </c>
      <c r="B1034" t="s">
        <v>624</v>
      </c>
      <c r="C1034" t="s">
        <v>3762</v>
      </c>
      <c r="D1034" t="s">
        <v>3763</v>
      </c>
      <c r="E1034" t="s">
        <v>131</v>
      </c>
      <c r="F1034" t="s">
        <v>12</v>
      </c>
      <c r="G1034" t="s">
        <v>24</v>
      </c>
      <c r="H1034">
        <f>40566*(1.01^10)</f>
        <v>44810.101139430932</v>
      </c>
      <c r="I1034">
        <f>200998*(1.01^10)</f>
        <v>222026.83796340134</v>
      </c>
      <c r="J1034" t="s">
        <v>3764</v>
      </c>
      <c r="K1034">
        <f t="shared" si="16"/>
        <v>1345.8590790501439</v>
      </c>
    </row>
    <row r="1035" spans="1:11" x14ac:dyDescent="0.2">
      <c r="A1035" t="s">
        <v>405</v>
      </c>
      <c r="B1035" t="s">
        <v>624</v>
      </c>
      <c r="C1035" t="s">
        <v>3765</v>
      </c>
      <c r="D1035" t="s">
        <v>3766</v>
      </c>
      <c r="E1035" t="s">
        <v>333</v>
      </c>
      <c r="F1035" t="s">
        <v>12</v>
      </c>
      <c r="G1035" t="s">
        <v>12</v>
      </c>
      <c r="H1035">
        <f>47387*(1.01^10)</f>
        <v>52344.72865686076</v>
      </c>
      <c r="I1035">
        <f>230807*(1.01^10)</f>
        <v>254954.51889978393</v>
      </c>
      <c r="J1035" t="s">
        <v>3767</v>
      </c>
      <c r="K1035">
        <f t="shared" si="16"/>
        <v>1511.2420053341118</v>
      </c>
    </row>
    <row r="1036" spans="1:11" x14ac:dyDescent="0.2">
      <c r="A1036" t="s">
        <v>405</v>
      </c>
      <c r="B1036" t="s">
        <v>624</v>
      </c>
      <c r="C1036" t="s">
        <v>3768</v>
      </c>
      <c r="D1036" t="s">
        <v>3769</v>
      </c>
      <c r="E1036" t="s">
        <v>1656</v>
      </c>
      <c r="F1036" t="s">
        <v>12</v>
      </c>
      <c r="G1036" t="s">
        <v>24</v>
      </c>
      <c r="H1036">
        <f>32464*(1.01^10)</f>
        <v>35860.45267934935</v>
      </c>
      <c r="I1036">
        <f>162684*(1.01^10)</f>
        <v>179704.34585039644</v>
      </c>
      <c r="J1036" t="s">
        <v>3770</v>
      </c>
      <c r="K1036">
        <f t="shared" si="16"/>
        <v>1305.8780407704253</v>
      </c>
    </row>
    <row r="1037" spans="1:11" x14ac:dyDescent="0.2">
      <c r="A1037" t="s">
        <v>405</v>
      </c>
      <c r="B1037" t="s">
        <v>624</v>
      </c>
      <c r="C1037" t="s">
        <v>3771</v>
      </c>
      <c r="D1037" t="s">
        <v>3772</v>
      </c>
      <c r="E1037" t="s">
        <v>91</v>
      </c>
      <c r="F1037" t="s">
        <v>11</v>
      </c>
      <c r="G1037" t="s">
        <v>24</v>
      </c>
      <c r="H1037">
        <f>32955*(1.01^10)</f>
        <v>36402.822142926256</v>
      </c>
      <c r="I1037">
        <f>170758*(1.01^10)</f>
        <v>188623.06489096649</v>
      </c>
      <c r="J1037" t="s">
        <v>3773</v>
      </c>
      <c r="K1037">
        <f t="shared" si="16"/>
        <v>1386.7898612581057</v>
      </c>
    </row>
    <row r="1038" spans="1:11" x14ac:dyDescent="0.2">
      <c r="A1038" t="s">
        <v>405</v>
      </c>
      <c r="B1038" t="s">
        <v>624</v>
      </c>
      <c r="C1038" t="s">
        <v>3774</v>
      </c>
      <c r="D1038" t="s">
        <v>3775</v>
      </c>
      <c r="E1038" t="s">
        <v>422</v>
      </c>
      <c r="F1038" t="s">
        <v>11</v>
      </c>
      <c r="G1038" t="s">
        <v>24</v>
      </c>
      <c r="H1038">
        <f>20227*(1.01^10)</f>
        <v>22343.191730692437</v>
      </c>
      <c r="I1038">
        <f>116863*(1.01^10)</f>
        <v>129089.45544192962</v>
      </c>
      <c r="J1038" t="s">
        <v>3776</v>
      </c>
      <c r="K1038">
        <f t="shared" si="16"/>
        <v>2039.4276169964971</v>
      </c>
    </row>
    <row r="1039" spans="1:11" x14ac:dyDescent="0.2">
      <c r="A1039" t="s">
        <v>405</v>
      </c>
      <c r="B1039" t="s">
        <v>624</v>
      </c>
      <c r="C1039" t="s">
        <v>3777</v>
      </c>
      <c r="D1039" t="s">
        <v>3778</v>
      </c>
      <c r="E1039" t="s">
        <v>427</v>
      </c>
      <c r="F1039" t="s">
        <v>17</v>
      </c>
      <c r="G1039" t="s">
        <v>24</v>
      </c>
      <c r="H1039">
        <f>30396*(1.01^10)</f>
        <v>33576.094123998977</v>
      </c>
      <c r="I1039">
        <f>174864*(1.01^10)</f>
        <v>193158.64333790491</v>
      </c>
      <c r="J1039" t="s">
        <v>3779</v>
      </c>
      <c r="K1039">
        <f t="shared" si="16"/>
        <v>1427.2124162851644</v>
      </c>
    </row>
    <row r="1040" spans="1:11" x14ac:dyDescent="0.2">
      <c r="A1040" t="s">
        <v>405</v>
      </c>
      <c r="B1040" t="s">
        <v>624</v>
      </c>
      <c r="C1040" t="s">
        <v>3781</v>
      </c>
      <c r="D1040" t="s">
        <v>3782</v>
      </c>
      <c r="E1040" t="s">
        <v>264</v>
      </c>
      <c r="F1040" t="s">
        <v>24</v>
      </c>
      <c r="G1040" t="s">
        <v>12</v>
      </c>
      <c r="H1040">
        <f>63681*(1.01^10)</f>
        <v>70343.441568310926</v>
      </c>
      <c r="I1040">
        <f>318144*(1.01^10)</f>
        <v>351428.90146682231</v>
      </c>
      <c r="J1040" t="s">
        <v>3783</v>
      </c>
      <c r="K1040">
        <f t="shared" si="16"/>
        <v>1984.1368595752865</v>
      </c>
    </row>
    <row r="1041" spans="1:11" x14ac:dyDescent="0.2">
      <c r="A1041" t="s">
        <v>405</v>
      </c>
      <c r="B1041" t="s">
        <v>624</v>
      </c>
      <c r="C1041" t="s">
        <v>3784</v>
      </c>
      <c r="D1041" t="s">
        <v>3785</v>
      </c>
      <c r="E1041" t="s">
        <v>185</v>
      </c>
      <c r="F1041" t="s">
        <v>24</v>
      </c>
      <c r="G1041" t="s">
        <v>24</v>
      </c>
      <c r="H1041">
        <f>57311*(1.01^10)</f>
        <v>63306.998629441558</v>
      </c>
      <c r="I1041">
        <f>276809*(1.01^10)</f>
        <v>305769.34591295017</v>
      </c>
      <c r="J1041" t="s">
        <v>3786</v>
      </c>
      <c r="K1041">
        <f t="shared" si="16"/>
        <v>1429.7174727703177</v>
      </c>
    </row>
    <row r="1042" spans="1:11" x14ac:dyDescent="0.2">
      <c r="A1042" t="s">
        <v>405</v>
      </c>
      <c r="B1042" t="s">
        <v>624</v>
      </c>
      <c r="C1042" t="s">
        <v>3787</v>
      </c>
      <c r="D1042" t="s">
        <v>3788</v>
      </c>
      <c r="E1042" t="s">
        <v>121</v>
      </c>
      <c r="F1042" t="s">
        <v>158</v>
      </c>
      <c r="G1042" t="s">
        <v>12</v>
      </c>
      <c r="H1042">
        <f>68608*(1.01^10)</f>
        <v>75785.914780211941</v>
      </c>
      <c r="I1042">
        <f>363976*(1.01^10)</f>
        <v>402055.94271866867</v>
      </c>
      <c r="J1042" t="s">
        <v>3789</v>
      </c>
      <c r="K1042">
        <f t="shared" si="16"/>
        <v>1696.6408691271517</v>
      </c>
    </row>
    <row r="1043" spans="1:11" x14ac:dyDescent="0.2">
      <c r="A1043" t="s">
        <v>405</v>
      </c>
      <c r="B1043" t="s">
        <v>624</v>
      </c>
      <c r="C1043" t="s">
        <v>3790</v>
      </c>
      <c r="D1043" t="s">
        <v>3791</v>
      </c>
      <c r="E1043" t="s">
        <v>97</v>
      </c>
      <c r="F1043" t="s">
        <v>12</v>
      </c>
      <c r="G1043" t="s">
        <v>24</v>
      </c>
      <c r="H1043">
        <f>36654*(1.01^10)</f>
        <v>40488.819384822302</v>
      </c>
      <c r="I1043">
        <f>180366*(1.01^10)</f>
        <v>199236.27427191735</v>
      </c>
      <c r="J1043" t="s">
        <v>3792</v>
      </c>
      <c r="K1043">
        <f t="shared" si="16"/>
        <v>1426.3064990578137</v>
      </c>
    </row>
    <row r="1044" spans="1:11" x14ac:dyDescent="0.2">
      <c r="A1044" t="s">
        <v>405</v>
      </c>
      <c r="B1044" t="s">
        <v>624</v>
      </c>
      <c r="C1044" t="s">
        <v>3793</v>
      </c>
      <c r="D1044" t="s">
        <v>3794</v>
      </c>
      <c r="E1044" t="s">
        <v>264</v>
      </c>
      <c r="F1044" t="s">
        <v>24</v>
      </c>
      <c r="G1044" t="s">
        <v>24</v>
      </c>
      <c r="H1044">
        <f>41245*(1.01^10)</f>
        <v>45560.139562585136</v>
      </c>
      <c r="I1044">
        <f>222551*(1.01^10)</f>
        <v>245834.75863238901</v>
      </c>
      <c r="J1044" t="s">
        <v>3795</v>
      </c>
      <c r="K1044">
        <f t="shared" si="16"/>
        <v>1326.2778313960837</v>
      </c>
    </row>
    <row r="1045" spans="1:11" x14ac:dyDescent="0.2">
      <c r="A1045" t="s">
        <v>405</v>
      </c>
      <c r="B1045" t="s">
        <v>624</v>
      </c>
      <c r="C1045" t="s">
        <v>3796</v>
      </c>
      <c r="D1045" t="s">
        <v>3797</v>
      </c>
      <c r="E1045" t="s">
        <v>3122</v>
      </c>
      <c r="F1045" t="s">
        <v>17</v>
      </c>
      <c r="G1045" t="s">
        <v>24</v>
      </c>
      <c r="H1045">
        <f>33552*(1.01^10)</f>
        <v>37062.281551796739</v>
      </c>
      <c r="I1045">
        <f>183018*(1.01^10)</f>
        <v>202165.73214850787</v>
      </c>
      <c r="J1045" t="s">
        <v>3798</v>
      </c>
      <c r="K1045">
        <f t="shared" si="16"/>
        <v>1296.9153023310746</v>
      </c>
    </row>
    <row r="1046" spans="1:11" x14ac:dyDescent="0.2">
      <c r="A1046" t="s">
        <v>405</v>
      </c>
      <c r="B1046" t="s">
        <v>624</v>
      </c>
      <c r="C1046" t="s">
        <v>3799</v>
      </c>
      <c r="D1046" t="s">
        <v>3800</v>
      </c>
      <c r="E1046" t="s">
        <v>176</v>
      </c>
      <c r="F1046" t="s">
        <v>5</v>
      </c>
      <c r="G1046" t="s">
        <v>12</v>
      </c>
      <c r="H1046">
        <f>28019*(1.01^10)</f>
        <v>30950.407331896546</v>
      </c>
      <c r="I1046">
        <f>163923*(1.01^10)</f>
        <v>181072.97266378091</v>
      </c>
      <c r="J1046" t="s">
        <v>3801</v>
      </c>
      <c r="K1046">
        <f t="shared" si="16"/>
        <v>906.60662783606097</v>
      </c>
    </row>
    <row r="1047" spans="1:11" x14ac:dyDescent="0.2">
      <c r="A1047" t="s">
        <v>405</v>
      </c>
      <c r="B1047" t="s">
        <v>624</v>
      </c>
      <c r="C1047" t="s">
        <v>3803</v>
      </c>
      <c r="D1047" t="s">
        <v>3804</v>
      </c>
      <c r="E1047" t="s">
        <v>61</v>
      </c>
      <c r="F1047" t="s">
        <v>17</v>
      </c>
      <c r="G1047" t="s">
        <v>24</v>
      </c>
      <c r="H1047">
        <f>23283*(1.01^10)</f>
        <v>25718.91694594908</v>
      </c>
      <c r="I1047">
        <f>144071*(1.01^10)</f>
        <v>159144.01423011767</v>
      </c>
      <c r="J1047" t="s">
        <v>3805</v>
      </c>
      <c r="K1047">
        <f t="shared" si="16"/>
        <v>1104.4292060488892</v>
      </c>
    </row>
    <row r="1048" spans="1:11" x14ac:dyDescent="0.2">
      <c r="A1048" t="s">
        <v>405</v>
      </c>
      <c r="B1048" t="s">
        <v>624</v>
      </c>
      <c r="C1048" t="s">
        <v>3806</v>
      </c>
      <c r="D1048" t="s">
        <v>3807</v>
      </c>
      <c r="E1048" t="s">
        <v>185</v>
      </c>
      <c r="F1048" t="s">
        <v>17</v>
      </c>
      <c r="G1048" t="s">
        <v>12</v>
      </c>
      <c r="H1048">
        <f>34431*(1.01^10)</f>
        <v>38033.244400033189</v>
      </c>
      <c r="I1048">
        <f>194579*(1.01^10)</f>
        <v>214936.26854038681</v>
      </c>
      <c r="J1048" t="s">
        <v>3808</v>
      </c>
      <c r="K1048">
        <f t="shared" si="16"/>
        <v>1136.9260432968995</v>
      </c>
    </row>
    <row r="1049" spans="1:11" x14ac:dyDescent="0.2">
      <c r="A1049" t="s">
        <v>405</v>
      </c>
      <c r="B1049" t="s">
        <v>624</v>
      </c>
      <c r="C1049" t="s">
        <v>3809</v>
      </c>
      <c r="D1049" t="s">
        <v>3810</v>
      </c>
      <c r="E1049" t="s">
        <v>611</v>
      </c>
      <c r="F1049" t="s">
        <v>12</v>
      </c>
      <c r="G1049" t="s">
        <v>24</v>
      </c>
      <c r="H1049">
        <f>52691*(1.01^10)</f>
        <v>58203.644410041787</v>
      </c>
      <c r="I1049">
        <f>267568*(1.01^10)</f>
        <v>295561.53285202524</v>
      </c>
      <c r="J1049" t="s">
        <v>3811</v>
      </c>
      <c r="K1049">
        <f t="shared" si="16"/>
        <v>1203.7646963818124</v>
      </c>
    </row>
    <row r="1050" spans="1:11" x14ac:dyDescent="0.2">
      <c r="A1050" t="s">
        <v>405</v>
      </c>
      <c r="B1050" t="s">
        <v>624</v>
      </c>
      <c r="C1050" t="s">
        <v>3812</v>
      </c>
      <c r="D1050" t="s">
        <v>3813</v>
      </c>
      <c r="E1050" t="s">
        <v>674</v>
      </c>
      <c r="F1050" t="s">
        <v>12</v>
      </c>
      <c r="G1050" t="s">
        <v>24</v>
      </c>
      <c r="H1050">
        <f>31325*(1.01^10)</f>
        <v>34602.28807850599</v>
      </c>
      <c r="I1050">
        <f>168788*(1.01^10)</f>
        <v>186446.95930390642</v>
      </c>
      <c r="J1050" t="s">
        <v>3814</v>
      </c>
      <c r="K1050">
        <f t="shared" si="16"/>
        <v>1317.5268877488334</v>
      </c>
    </row>
    <row r="1051" spans="1:11" x14ac:dyDescent="0.2">
      <c r="A1051" t="s">
        <v>405</v>
      </c>
      <c r="B1051" t="s">
        <v>624</v>
      </c>
      <c r="C1051" t="s">
        <v>3815</v>
      </c>
      <c r="D1051" t="s">
        <v>3816</v>
      </c>
      <c r="E1051" t="s">
        <v>422</v>
      </c>
      <c r="F1051" t="s">
        <v>24</v>
      </c>
      <c r="G1051" t="s">
        <v>24</v>
      </c>
      <c r="H1051">
        <f>16811*(1.01^10)</f>
        <v>18569.802550287764</v>
      </c>
      <c r="I1051">
        <f>77089*(1.01^10)</f>
        <v>85154.215025824364</v>
      </c>
      <c r="J1051" t="s">
        <v>3817</v>
      </c>
      <c r="K1051">
        <f t="shared" si="16"/>
        <v>1366.3660738395643</v>
      </c>
    </row>
    <row r="1052" spans="1:11" x14ac:dyDescent="0.2">
      <c r="A1052" t="s">
        <v>405</v>
      </c>
      <c r="B1052" t="s">
        <v>624</v>
      </c>
      <c r="C1052" t="s">
        <v>3818</v>
      </c>
      <c r="D1052" t="s">
        <v>3819</v>
      </c>
      <c r="E1052" t="s">
        <v>1054</v>
      </c>
      <c r="F1052" t="s">
        <v>17</v>
      </c>
      <c r="G1052" t="s">
        <v>12</v>
      </c>
      <c r="H1052">
        <f>40438*(1.01^10)</f>
        <v>44668.709507378298</v>
      </c>
      <c r="I1052">
        <f>216276*(1.01^10)</f>
        <v>238903.25479543372</v>
      </c>
      <c r="J1052" t="s">
        <v>3820</v>
      </c>
      <c r="K1052">
        <f t="shared" si="16"/>
        <v>1373.1989229225017</v>
      </c>
    </row>
    <row r="1053" spans="1:11" x14ac:dyDescent="0.2">
      <c r="A1053" t="s">
        <v>405</v>
      </c>
      <c r="B1053" t="s">
        <v>624</v>
      </c>
      <c r="C1053" t="s">
        <v>3821</v>
      </c>
      <c r="D1053" t="s">
        <v>3822</v>
      </c>
      <c r="E1053" t="s">
        <v>422</v>
      </c>
      <c r="F1053" t="s">
        <v>12</v>
      </c>
      <c r="G1053" t="s">
        <v>12</v>
      </c>
      <c r="H1053">
        <f>29805*(1.01^10)</f>
        <v>32923.262447880959</v>
      </c>
      <c r="I1053">
        <f>146216*(1.01^10)</f>
        <v>161513.4286891247</v>
      </c>
      <c r="J1053" t="s">
        <v>3823</v>
      </c>
      <c r="K1053">
        <f t="shared" si="16"/>
        <v>1366.7952626050114</v>
      </c>
    </row>
    <row r="1054" spans="1:11" x14ac:dyDescent="0.2">
      <c r="A1054" t="s">
        <v>405</v>
      </c>
      <c r="B1054" t="s">
        <v>624</v>
      </c>
      <c r="C1054" t="s">
        <v>3824</v>
      </c>
      <c r="D1054" t="s">
        <v>3825</v>
      </c>
      <c r="E1054" t="s">
        <v>47</v>
      </c>
      <c r="F1054" t="s">
        <v>24</v>
      </c>
      <c r="G1054" t="s">
        <v>24</v>
      </c>
      <c r="H1054">
        <f>37883*(1.01^10)</f>
        <v>41846.399976952671</v>
      </c>
      <c r="I1054">
        <f>166445*(1.01^10)</f>
        <v>183858.82966406798</v>
      </c>
      <c r="J1054" t="s">
        <v>3826</v>
      </c>
      <c r="K1054">
        <f t="shared" si="16"/>
        <v>1574.9737509937363</v>
      </c>
    </row>
    <row r="1055" spans="1:11" x14ac:dyDescent="0.2">
      <c r="A1055" t="s">
        <v>405</v>
      </c>
      <c r="B1055" t="s">
        <v>624</v>
      </c>
      <c r="C1055" t="s">
        <v>3827</v>
      </c>
      <c r="D1055" t="s">
        <v>3828</v>
      </c>
      <c r="E1055" t="s">
        <v>427</v>
      </c>
      <c r="F1055" t="s">
        <v>24</v>
      </c>
      <c r="G1055" t="s">
        <v>24</v>
      </c>
      <c r="H1055">
        <f>15376*(1.01^10)</f>
        <v>16984.669800322685</v>
      </c>
      <c r="I1055">
        <f>80329*(1.01^10)</f>
        <v>88733.190712156662</v>
      </c>
      <c r="J1055" t="s">
        <v>3829</v>
      </c>
      <c r="K1055">
        <f t="shared" si="16"/>
        <v>1564.7141978997904</v>
      </c>
    </row>
    <row r="1056" spans="1:11" x14ac:dyDescent="0.2">
      <c r="A1056" t="s">
        <v>405</v>
      </c>
      <c r="B1056" t="s">
        <v>624</v>
      </c>
      <c r="C1056" t="s">
        <v>3830</v>
      </c>
      <c r="D1056" t="s">
        <v>3568</v>
      </c>
      <c r="E1056" t="s">
        <v>1580</v>
      </c>
      <c r="F1056" t="s">
        <v>17</v>
      </c>
      <c r="G1056" t="s">
        <v>12</v>
      </c>
      <c r="H1056">
        <f>31675*(1.01^10)</f>
        <v>34988.905822399909</v>
      </c>
      <c r="I1056">
        <f>160760*(1.01^10)</f>
        <v>177579.05288110528</v>
      </c>
      <c r="J1056" t="s">
        <v>3831</v>
      </c>
      <c r="K1056">
        <f t="shared" si="16"/>
        <v>1507.5141516092801</v>
      </c>
    </row>
    <row r="1057" spans="1:11" x14ac:dyDescent="0.2">
      <c r="A1057" t="s">
        <v>405</v>
      </c>
      <c r="B1057" t="s">
        <v>624</v>
      </c>
      <c r="C1057" t="s">
        <v>3832</v>
      </c>
      <c r="D1057" t="s">
        <v>3833</v>
      </c>
      <c r="E1057" t="s">
        <v>333</v>
      </c>
      <c r="F1057" t="s">
        <v>24</v>
      </c>
      <c r="G1057" t="s">
        <v>24</v>
      </c>
      <c r="H1057">
        <f>20348*(1.01^10)</f>
        <v>22476.851007867193</v>
      </c>
      <c r="I1057">
        <f>102808*(1.01^10)</f>
        <v>113563.99146927513</v>
      </c>
      <c r="J1057" t="s">
        <v>3834</v>
      </c>
      <c r="K1057">
        <f t="shared" si="16"/>
        <v>1393.6968027404782</v>
      </c>
    </row>
    <row r="1058" spans="1:11" x14ac:dyDescent="0.2">
      <c r="A1058" t="s">
        <v>405</v>
      </c>
      <c r="B1058" t="s">
        <v>624</v>
      </c>
      <c r="C1058" t="s">
        <v>3835</v>
      </c>
      <c r="D1058" t="s">
        <v>3836</v>
      </c>
      <c r="E1058" t="s">
        <v>2395</v>
      </c>
      <c r="F1058" t="s">
        <v>5</v>
      </c>
      <c r="G1058" t="s">
        <v>12</v>
      </c>
      <c r="H1058">
        <f>33432*(1.01^10)</f>
        <v>36929.726896747394</v>
      </c>
      <c r="I1058">
        <f>173140*(1.01^10)</f>
        <v>191254.27479369598</v>
      </c>
      <c r="J1058" t="s">
        <v>3837</v>
      </c>
      <c r="K1058">
        <f t="shared" si="16"/>
        <v>1635.9983636809243</v>
      </c>
    </row>
    <row r="1059" spans="1:11" x14ac:dyDescent="0.2">
      <c r="A1059" t="s">
        <v>405</v>
      </c>
      <c r="B1059" t="s">
        <v>608</v>
      </c>
      <c r="C1059" t="s">
        <v>3838</v>
      </c>
      <c r="D1059" t="s">
        <v>3839</v>
      </c>
      <c r="E1059" t="s">
        <v>427</v>
      </c>
      <c r="F1059" t="s">
        <v>24</v>
      </c>
      <c r="G1059" t="s">
        <v>24</v>
      </c>
      <c r="H1059">
        <f>21600*(1.01^10)</f>
        <v>23859.837908882022</v>
      </c>
      <c r="I1059">
        <f>91949*(1.01^10)</f>
        <v>101568.89980943486</v>
      </c>
      <c r="J1059" t="s">
        <v>3840</v>
      </c>
      <c r="K1059">
        <f t="shared" si="16"/>
        <v>1936.2400546857407</v>
      </c>
    </row>
    <row r="1060" spans="1:11" x14ac:dyDescent="0.2">
      <c r="A1060" t="s">
        <v>405</v>
      </c>
      <c r="B1060" t="s">
        <v>608</v>
      </c>
      <c r="C1060" t="s">
        <v>3841</v>
      </c>
      <c r="D1060" t="s">
        <v>3842</v>
      </c>
      <c r="E1060" t="s">
        <v>61</v>
      </c>
      <c r="F1060" t="s">
        <v>17</v>
      </c>
      <c r="G1060" t="s">
        <v>24</v>
      </c>
      <c r="H1060">
        <f>28107*(1.01^10)</f>
        <v>31047.614078932733</v>
      </c>
      <c r="I1060">
        <f>117948*(1.01^10)</f>
        <v>130287.97044800078</v>
      </c>
      <c r="J1060" t="s">
        <v>3843</v>
      </c>
      <c r="K1060">
        <f t="shared" si="16"/>
        <v>1883.9176702243451</v>
      </c>
    </row>
    <row r="1061" spans="1:11" x14ac:dyDescent="0.2">
      <c r="A1061" t="s">
        <v>405</v>
      </c>
      <c r="B1061" t="s">
        <v>608</v>
      </c>
      <c r="C1061" t="s">
        <v>3844</v>
      </c>
      <c r="D1061" t="s">
        <v>3845</v>
      </c>
      <c r="E1061" t="s">
        <v>131</v>
      </c>
      <c r="F1061" t="s">
        <v>17</v>
      </c>
      <c r="G1061" t="s">
        <v>12</v>
      </c>
      <c r="H1061">
        <f>34606*(1.01^10)</f>
        <v>38226.553271980149</v>
      </c>
      <c r="I1061">
        <f>155258*(1.01^10)</f>
        <v>171501.42194709284</v>
      </c>
      <c r="J1061" t="s">
        <v>3846</v>
      </c>
      <c r="K1061">
        <f t="shared" si="16"/>
        <v>2531.1629466332074</v>
      </c>
    </row>
    <row r="1062" spans="1:11" x14ac:dyDescent="0.2">
      <c r="A1062" t="s">
        <v>405</v>
      </c>
      <c r="B1062" t="s">
        <v>608</v>
      </c>
      <c r="C1062" t="s">
        <v>3847</v>
      </c>
      <c r="D1062" t="s">
        <v>3848</v>
      </c>
      <c r="E1062" t="s">
        <v>313</v>
      </c>
      <c r="F1062" t="s">
        <v>17</v>
      </c>
      <c r="G1062" t="s">
        <v>24</v>
      </c>
      <c r="H1062">
        <f>20943*(1.01^10)</f>
        <v>23134.101172486862</v>
      </c>
      <c r="I1062">
        <f>93398*(1.01^10)</f>
        <v>103169.4972691557</v>
      </c>
      <c r="J1062" t="s">
        <v>3849</v>
      </c>
      <c r="K1062">
        <f t="shared" si="16"/>
        <v>1960.3184445766922</v>
      </c>
    </row>
    <row r="1063" spans="1:11" x14ac:dyDescent="0.2">
      <c r="A1063" t="s">
        <v>405</v>
      </c>
      <c r="B1063" t="s">
        <v>608</v>
      </c>
      <c r="C1063" t="s">
        <v>3850</v>
      </c>
      <c r="D1063" t="s">
        <v>3851</v>
      </c>
      <c r="E1063" t="s">
        <v>777</v>
      </c>
      <c r="F1063" t="s">
        <v>158</v>
      </c>
      <c r="G1063" t="s">
        <v>24</v>
      </c>
      <c r="H1063">
        <f>44888*(1.01^10)</f>
        <v>49584.277965458161</v>
      </c>
      <c r="I1063">
        <f>197693*(1.01^10)</f>
        <v>218376.06183891729</v>
      </c>
      <c r="J1063" t="s">
        <v>3852</v>
      </c>
      <c r="K1063">
        <f t="shared" si="16"/>
        <v>2040.9727469930269</v>
      </c>
    </row>
    <row r="1064" spans="1:11" x14ac:dyDescent="0.2">
      <c r="A1064" t="s">
        <v>405</v>
      </c>
      <c r="B1064" t="s">
        <v>144</v>
      </c>
      <c r="C1064" t="s">
        <v>3853</v>
      </c>
      <c r="D1064" t="s">
        <v>3854</v>
      </c>
      <c r="E1064" t="s">
        <v>356</v>
      </c>
      <c r="F1064" t="s">
        <v>5</v>
      </c>
      <c r="G1064" t="s">
        <v>12</v>
      </c>
      <c r="H1064">
        <f>27158*(1.01^10)</f>
        <v>29999.327681917497</v>
      </c>
      <c r="I1064">
        <f>132154*(1.01^10)</f>
        <v>145980.23236159235</v>
      </c>
      <c r="J1064" t="s">
        <v>3855</v>
      </c>
      <c r="K1064">
        <f t="shared" si="16"/>
        <v>2022.7973622420918</v>
      </c>
    </row>
    <row r="1065" spans="1:11" x14ac:dyDescent="0.2">
      <c r="A1065" t="s">
        <v>405</v>
      </c>
      <c r="B1065" t="s">
        <v>144</v>
      </c>
      <c r="C1065" t="s">
        <v>3856</v>
      </c>
      <c r="D1065" t="s">
        <v>3857</v>
      </c>
      <c r="E1065" t="s">
        <v>72</v>
      </c>
      <c r="F1065" t="s">
        <v>12</v>
      </c>
      <c r="G1065" t="s">
        <v>24</v>
      </c>
      <c r="H1065">
        <f>28991*(1.01^10)</f>
        <v>32024.100037796237</v>
      </c>
      <c r="I1065">
        <f>122239*(1.01^10)</f>
        <v>135027.90398814026</v>
      </c>
      <c r="J1065" t="s">
        <v>3858</v>
      </c>
      <c r="K1065">
        <f t="shared" si="16"/>
        <v>1558.0215345024558</v>
      </c>
    </row>
    <row r="1066" spans="1:11" x14ac:dyDescent="0.2">
      <c r="A1066" t="s">
        <v>405</v>
      </c>
      <c r="B1066" t="s">
        <v>144</v>
      </c>
      <c r="C1066" t="s">
        <v>3859</v>
      </c>
      <c r="D1066" t="s">
        <v>3860</v>
      </c>
      <c r="E1066" t="s">
        <v>313</v>
      </c>
      <c r="F1066" t="s">
        <v>24</v>
      </c>
      <c r="G1066" t="s">
        <v>24</v>
      </c>
      <c r="H1066">
        <f>23791*(1.01^10)</f>
        <v>26280.064985657973</v>
      </c>
      <c r="I1066">
        <f>102785*(1.01^10)</f>
        <v>113538.58516039068</v>
      </c>
      <c r="J1066" t="s">
        <v>3861</v>
      </c>
      <c r="K1066">
        <f t="shared" si="16"/>
        <v>1385.5337763445632</v>
      </c>
    </row>
    <row r="1067" spans="1:11" x14ac:dyDescent="0.2">
      <c r="A1067" t="s">
        <v>405</v>
      </c>
      <c r="B1067" t="s">
        <v>144</v>
      </c>
      <c r="C1067" t="s">
        <v>3862</v>
      </c>
      <c r="D1067" t="s">
        <v>3863</v>
      </c>
      <c r="E1067" t="s">
        <v>264</v>
      </c>
      <c r="F1067" t="s">
        <v>11</v>
      </c>
      <c r="G1067" t="s">
        <v>24</v>
      </c>
      <c r="H1067">
        <f>53039*(1.01^10)</f>
        <v>58588.052909684891</v>
      </c>
      <c r="I1067">
        <f>251248*(1.01^10)</f>
        <v>277534.09976531437</v>
      </c>
      <c r="J1067" t="s">
        <v>3864</v>
      </c>
      <c r="K1067">
        <f t="shared" si="16"/>
        <v>1497.9556779757365</v>
      </c>
    </row>
    <row r="1068" spans="1:11" x14ac:dyDescent="0.2">
      <c r="A1068" t="s">
        <v>405</v>
      </c>
      <c r="B1068" t="s">
        <v>144</v>
      </c>
      <c r="C1068" t="s">
        <v>3865</v>
      </c>
      <c r="D1068" t="s">
        <v>3866</v>
      </c>
      <c r="E1068" t="s">
        <v>1101</v>
      </c>
      <c r="F1068" t="s">
        <v>24</v>
      </c>
      <c r="G1068" t="s">
        <v>24</v>
      </c>
      <c r="H1068">
        <f>68586*(1.01^10)</f>
        <v>75761.613093452892</v>
      </c>
      <c r="I1068">
        <f>338222*(1.01^10)</f>
        <v>373607.50450082851</v>
      </c>
      <c r="J1068" t="s">
        <v>3867</v>
      </c>
      <c r="K1068">
        <f t="shared" si="16"/>
        <v>1666.9445399840295</v>
      </c>
    </row>
    <row r="1069" spans="1:11" x14ac:dyDescent="0.2">
      <c r="A1069" t="s">
        <v>405</v>
      </c>
      <c r="B1069" t="s">
        <v>144</v>
      </c>
      <c r="C1069" t="s">
        <v>3868</v>
      </c>
      <c r="D1069" t="s">
        <v>3869</v>
      </c>
      <c r="E1069" t="s">
        <v>126</v>
      </c>
      <c r="F1069" t="s">
        <v>12</v>
      </c>
      <c r="G1069" t="s">
        <v>24</v>
      </c>
      <c r="H1069">
        <f>45274*(1.01^10)</f>
        <v>50010.662105866882</v>
      </c>
      <c r="I1069">
        <f>209945*(1.01^10)</f>
        <v>231909.89211945538</v>
      </c>
      <c r="J1069" t="s">
        <v>3870</v>
      </c>
      <c r="K1069">
        <f t="shared" si="16"/>
        <v>1539.9059669884421</v>
      </c>
    </row>
    <row r="1070" spans="1:11" x14ac:dyDescent="0.2">
      <c r="A1070" t="s">
        <v>405</v>
      </c>
      <c r="B1070" t="s">
        <v>144</v>
      </c>
      <c r="C1070" t="s">
        <v>3871</v>
      </c>
      <c r="D1070" t="s">
        <v>3872</v>
      </c>
      <c r="E1070" t="s">
        <v>324</v>
      </c>
      <c r="F1070" t="s">
        <v>11</v>
      </c>
      <c r="G1070" t="s">
        <v>24</v>
      </c>
      <c r="H1070">
        <f>57120*(1.01^10)</f>
        <v>63096.015803488015</v>
      </c>
      <c r="I1070">
        <f>262527*(1.01^10)</f>
        <v>289993.13271782734</v>
      </c>
      <c r="J1070" t="s">
        <v>3873</v>
      </c>
      <c r="K1070">
        <f t="shared" si="16"/>
        <v>1416.6656044888239</v>
      </c>
    </row>
    <row r="1071" spans="1:11" x14ac:dyDescent="0.2">
      <c r="A1071" t="s">
        <v>405</v>
      </c>
      <c r="B1071" t="s">
        <v>144</v>
      </c>
      <c r="C1071" t="s">
        <v>3874</v>
      </c>
      <c r="D1071" t="s">
        <v>3875</v>
      </c>
      <c r="E1071" t="s">
        <v>16</v>
      </c>
      <c r="F1071" t="s">
        <v>11</v>
      </c>
      <c r="G1071" t="s">
        <v>24</v>
      </c>
      <c r="H1071">
        <f>43032*(1.01^10)</f>
        <v>47534.099300694965</v>
      </c>
      <c r="I1071">
        <f>206979*(1.01^10)</f>
        <v>228633.58289548574</v>
      </c>
      <c r="J1071" t="s">
        <v>3876</v>
      </c>
      <c r="K1071">
        <f t="shared" si="16"/>
        <v>1623.1905626389689</v>
      </c>
    </row>
    <row r="1072" spans="1:11" x14ac:dyDescent="0.2">
      <c r="A1072" t="s">
        <v>405</v>
      </c>
      <c r="B1072" t="s">
        <v>144</v>
      </c>
      <c r="C1072" t="s">
        <v>3877</v>
      </c>
      <c r="D1072" t="s">
        <v>3878</v>
      </c>
      <c r="E1072" t="s">
        <v>796</v>
      </c>
      <c r="F1072" t="s">
        <v>24</v>
      </c>
      <c r="G1072" t="s">
        <v>24</v>
      </c>
      <c r="H1072">
        <f>18589*(1.01^10)</f>
        <v>20533.820689268887</v>
      </c>
      <c r="I1072">
        <f>86016*(1.01^10)</f>
        <v>95015.176739370188</v>
      </c>
      <c r="J1072" t="s">
        <v>3879</v>
      </c>
      <c r="K1072">
        <f t="shared" si="16"/>
        <v>1591.7620016643807</v>
      </c>
    </row>
    <row r="1073" spans="1:11" x14ac:dyDescent="0.2">
      <c r="A1073" t="s">
        <v>405</v>
      </c>
      <c r="B1073" t="s">
        <v>144</v>
      </c>
      <c r="C1073" t="s">
        <v>3880</v>
      </c>
      <c r="D1073" t="s">
        <v>3881</v>
      </c>
      <c r="E1073" t="s">
        <v>142</v>
      </c>
      <c r="F1073" t="s">
        <v>24</v>
      </c>
      <c r="G1073" t="s">
        <v>12</v>
      </c>
      <c r="H1073">
        <f>27782*(1.01^10)</f>
        <v>30688.611888174091</v>
      </c>
      <c r="I1073">
        <f>120906*(1.01^10)</f>
        <v>133555.44269496712</v>
      </c>
      <c r="J1073" t="s">
        <v>3882</v>
      </c>
      <c r="K1073">
        <f t="shared" si="16"/>
        <v>1595.4962487426581</v>
      </c>
    </row>
    <row r="1074" spans="1:11" x14ac:dyDescent="0.2">
      <c r="A1074" t="s">
        <v>405</v>
      </c>
      <c r="B1074" t="s">
        <v>144</v>
      </c>
      <c r="C1074" t="s">
        <v>3883</v>
      </c>
      <c r="D1074" t="s">
        <v>3884</v>
      </c>
      <c r="E1074" t="s">
        <v>977</v>
      </c>
      <c r="F1074" t="s">
        <v>17</v>
      </c>
      <c r="G1074" t="s">
        <v>24</v>
      </c>
      <c r="H1074">
        <f>82692*(1.01^10)</f>
        <v>91343.41279450334</v>
      </c>
      <c r="I1074">
        <f>372579*(1.01^10)</f>
        <v>411559.00686358125</v>
      </c>
      <c r="J1074" t="s">
        <v>3885</v>
      </c>
      <c r="K1074">
        <f t="shared" si="16"/>
        <v>1443.1074822658211</v>
      </c>
    </row>
    <row r="1075" spans="1:11" x14ac:dyDescent="0.2">
      <c r="A1075" t="s">
        <v>405</v>
      </c>
      <c r="B1075" t="s">
        <v>144</v>
      </c>
      <c r="C1075" t="s">
        <v>3886</v>
      </c>
      <c r="D1075" t="s">
        <v>3887</v>
      </c>
      <c r="E1075" t="s">
        <v>1106</v>
      </c>
      <c r="F1075" t="s">
        <v>24</v>
      </c>
      <c r="G1075" t="s">
        <v>92</v>
      </c>
      <c r="H1075">
        <f>88115*(1.01^10)</f>
        <v>97333.778580608312</v>
      </c>
      <c r="I1075">
        <f>438240*(1.01^10)</f>
        <v>484089.60024020635</v>
      </c>
      <c r="J1075" t="s">
        <v>3888</v>
      </c>
      <c r="K1075">
        <f t="shared" si="16"/>
        <v>2433.5207183436628</v>
      </c>
    </row>
    <row r="1076" spans="1:11" x14ac:dyDescent="0.2">
      <c r="A1076" t="s">
        <v>405</v>
      </c>
      <c r="B1076" t="s">
        <v>144</v>
      </c>
      <c r="C1076" t="s">
        <v>3889</v>
      </c>
      <c r="D1076" t="s">
        <v>3890</v>
      </c>
      <c r="E1076" t="s">
        <v>1027</v>
      </c>
      <c r="F1076" t="s">
        <v>17</v>
      </c>
      <c r="G1076" t="s">
        <v>24</v>
      </c>
      <c r="H1076">
        <f>46192*(1.01^10)</f>
        <v>51024.705216994371</v>
      </c>
      <c r="I1076">
        <f>215507*(1.01^10)</f>
        <v>238053.8003809925</v>
      </c>
      <c r="J1076" t="s">
        <v>3891</v>
      </c>
      <c r="K1076">
        <f t="shared" si="16"/>
        <v>1562.4216250443969</v>
      </c>
    </row>
    <row r="1077" spans="1:11" x14ac:dyDescent="0.2">
      <c r="A1077" t="s">
        <v>405</v>
      </c>
      <c r="B1077" t="s">
        <v>144</v>
      </c>
      <c r="C1077" t="s">
        <v>3892</v>
      </c>
      <c r="D1077" t="s">
        <v>3893</v>
      </c>
      <c r="E1077" t="s">
        <v>411</v>
      </c>
      <c r="F1077" t="s">
        <v>24</v>
      </c>
      <c r="G1077" t="s">
        <v>24</v>
      </c>
      <c r="H1077">
        <f>18595*(1.01^10)</f>
        <v>20540.448422021353</v>
      </c>
      <c r="I1077">
        <f>79310*(1.01^10)</f>
        <v>87607.580766362647</v>
      </c>
      <c r="J1077" t="s">
        <v>3894</v>
      </c>
      <c r="K1077">
        <f t="shared" si="16"/>
        <v>1282.5706552813378</v>
      </c>
    </row>
    <row r="1078" spans="1:11" x14ac:dyDescent="0.2">
      <c r="A1078" t="s">
        <v>405</v>
      </c>
      <c r="B1078" t="s">
        <v>144</v>
      </c>
      <c r="C1078" t="s">
        <v>3895</v>
      </c>
      <c r="D1078" t="s">
        <v>3896</v>
      </c>
      <c r="E1078" t="s">
        <v>674</v>
      </c>
      <c r="F1078" t="s">
        <v>12</v>
      </c>
      <c r="G1078" t="s">
        <v>12</v>
      </c>
      <c r="H1078">
        <f>38979*(1.01^10)</f>
        <v>43057.065826403348</v>
      </c>
      <c r="I1078">
        <f>171602*(1.01^10)</f>
        <v>189555.36596481357</v>
      </c>
      <c r="J1078" t="s">
        <v>3897</v>
      </c>
      <c r="K1078">
        <f t="shared" si="16"/>
        <v>1887.9330414430865</v>
      </c>
    </row>
    <row r="1079" spans="1:11" x14ac:dyDescent="0.2">
      <c r="A1079" t="s">
        <v>405</v>
      </c>
      <c r="B1079" t="s">
        <v>144</v>
      </c>
      <c r="C1079" t="s">
        <v>3898</v>
      </c>
      <c r="D1079" t="s">
        <v>3899</v>
      </c>
      <c r="E1079" t="s">
        <v>374</v>
      </c>
      <c r="F1079" t="s">
        <v>12</v>
      </c>
      <c r="G1079" t="s">
        <v>24</v>
      </c>
      <c r="H1079">
        <f>40009*(1.01^10)</f>
        <v>44194.826615576894</v>
      </c>
      <c r="I1079">
        <f>182429*(1.01^10)</f>
        <v>201515.10971664067</v>
      </c>
      <c r="J1079" t="s">
        <v>3900</v>
      </c>
      <c r="K1079">
        <f t="shared" si="16"/>
        <v>1847.534450398256</v>
      </c>
    </row>
    <row r="1080" spans="1:11" x14ac:dyDescent="0.2">
      <c r="A1080" t="s">
        <v>405</v>
      </c>
      <c r="B1080" t="s">
        <v>144</v>
      </c>
      <c r="C1080" t="s">
        <v>3901</v>
      </c>
      <c r="D1080" t="s">
        <v>3902</v>
      </c>
      <c r="E1080" t="s">
        <v>61</v>
      </c>
      <c r="F1080" t="s">
        <v>92</v>
      </c>
      <c r="G1080" t="s">
        <v>24</v>
      </c>
      <c r="H1080">
        <f>28378*(1.01^10)</f>
        <v>31346.966674919167</v>
      </c>
      <c r="I1080">
        <f>130886*(1.01^10)</f>
        <v>144579.57150657094</v>
      </c>
      <c r="J1080" t="s">
        <v>3903</v>
      </c>
      <c r="K1080">
        <f t="shared" si="16"/>
        <v>1606.5367771883245</v>
      </c>
    </row>
    <row r="1081" spans="1:11" x14ac:dyDescent="0.2">
      <c r="A1081" t="s">
        <v>405</v>
      </c>
      <c r="B1081" t="s">
        <v>305</v>
      </c>
      <c r="C1081" t="s">
        <v>3904</v>
      </c>
      <c r="D1081" t="s">
        <v>3905</v>
      </c>
      <c r="E1081" t="s">
        <v>185</v>
      </c>
      <c r="F1081" t="s">
        <v>17</v>
      </c>
      <c r="G1081" t="s">
        <v>24</v>
      </c>
      <c r="H1081">
        <f>27691*(1.01^10)</f>
        <v>30588.091274761671</v>
      </c>
      <c r="I1081">
        <f>134704*(1.01^10)</f>
        <v>148797.01878139091</v>
      </c>
      <c r="J1081" t="s">
        <v>3906</v>
      </c>
      <c r="K1081">
        <f t="shared" si="16"/>
        <v>1383.1714389718227</v>
      </c>
    </row>
    <row r="1082" spans="1:11" x14ac:dyDescent="0.2">
      <c r="A1082" t="s">
        <v>405</v>
      </c>
      <c r="B1082" t="s">
        <v>305</v>
      </c>
      <c r="C1082" t="s">
        <v>3907</v>
      </c>
      <c r="D1082" t="s">
        <v>3908</v>
      </c>
      <c r="E1082" t="s">
        <v>131</v>
      </c>
      <c r="F1082" t="s">
        <v>12</v>
      </c>
      <c r="G1082" t="s">
        <v>24</v>
      </c>
      <c r="H1082">
        <f>37312*(1.01^10)</f>
        <v>41215.660743342873</v>
      </c>
      <c r="I1082">
        <f>196251*(1.01^10)</f>
        <v>216783.19673407433</v>
      </c>
      <c r="J1082" t="s">
        <v>3909</v>
      </c>
      <c r="K1082">
        <f t="shared" si="16"/>
        <v>1503.3521339568913</v>
      </c>
    </row>
    <row r="1083" spans="1:11" x14ac:dyDescent="0.2">
      <c r="A1083" t="s">
        <v>405</v>
      </c>
      <c r="B1083" t="s">
        <v>305</v>
      </c>
      <c r="C1083" t="s">
        <v>3911</v>
      </c>
      <c r="D1083" t="s">
        <v>3912</v>
      </c>
      <c r="E1083" t="s">
        <v>97</v>
      </c>
      <c r="F1083" t="s">
        <v>12</v>
      </c>
      <c r="G1083" t="s">
        <v>24</v>
      </c>
      <c r="H1083">
        <f>33355*(1.01^10)</f>
        <v>36844.670993090731</v>
      </c>
      <c r="I1083">
        <f>173499*(1.01^10)</f>
        <v>191650.83413671862</v>
      </c>
      <c r="J1083" t="s">
        <v>3913</v>
      </c>
      <c r="K1083">
        <f t="shared" si="16"/>
        <v>1375.6819477936222</v>
      </c>
    </row>
    <row r="1084" spans="1:11" x14ac:dyDescent="0.2">
      <c r="A1084" t="s">
        <v>405</v>
      </c>
      <c r="B1084" t="s">
        <v>305</v>
      </c>
      <c r="C1084" t="s">
        <v>3915</v>
      </c>
      <c r="D1084" t="s">
        <v>3916</v>
      </c>
      <c r="E1084" t="s">
        <v>1340</v>
      </c>
      <c r="F1084" t="s">
        <v>24</v>
      </c>
      <c r="G1084" t="s">
        <v>12</v>
      </c>
      <c r="H1084">
        <f>38087*(1.01^10)</f>
        <v>42071.742890536552</v>
      </c>
      <c r="I1084">
        <f>193700*(1.01^10)</f>
        <v>213965.30569215037</v>
      </c>
      <c r="J1084" t="s">
        <v>3917</v>
      </c>
      <c r="K1084">
        <f t="shared" si="16"/>
        <v>1731.9015052720945</v>
      </c>
    </row>
    <row r="1085" spans="1:11" x14ac:dyDescent="0.2">
      <c r="A1085" t="s">
        <v>405</v>
      </c>
      <c r="B1085" t="s">
        <v>305</v>
      </c>
      <c r="C1085" t="s">
        <v>3918</v>
      </c>
      <c r="D1085" t="s">
        <v>3919</v>
      </c>
      <c r="E1085" t="s">
        <v>56</v>
      </c>
      <c r="F1085" t="s">
        <v>24</v>
      </c>
      <c r="G1085" t="s">
        <v>24</v>
      </c>
      <c r="H1085">
        <f>33560*(1.01^10)</f>
        <v>37071.118528800034</v>
      </c>
      <c r="I1085">
        <f>175561*(1.01^10)</f>
        <v>193928.56495931651</v>
      </c>
      <c r="J1085" t="s">
        <v>3920</v>
      </c>
      <c r="K1085">
        <f t="shared" si="16"/>
        <v>1051.3048894128829</v>
      </c>
    </row>
    <row r="1086" spans="1:11" x14ac:dyDescent="0.2">
      <c r="A1086" t="s">
        <v>405</v>
      </c>
      <c r="B1086" t="s">
        <v>305</v>
      </c>
      <c r="C1086" t="s">
        <v>3922</v>
      </c>
      <c r="D1086" t="s">
        <v>3923</v>
      </c>
      <c r="E1086" t="s">
        <v>674</v>
      </c>
      <c r="F1086" t="s">
        <v>11</v>
      </c>
      <c r="G1086" t="s">
        <v>24</v>
      </c>
      <c r="H1086">
        <f>40375*(1.01^10)</f>
        <v>44599.118313477389</v>
      </c>
      <c r="I1086">
        <f>212127*(1.01^10)</f>
        <v>234320.17759710262</v>
      </c>
      <c r="J1086" t="s">
        <v>3924</v>
      </c>
      <c r="K1086">
        <f t="shared" si="16"/>
        <v>1082.7147190207306</v>
      </c>
    </row>
    <row r="1087" spans="1:11" x14ac:dyDescent="0.2">
      <c r="A1087" t="s">
        <v>405</v>
      </c>
      <c r="B1087" t="s">
        <v>305</v>
      </c>
      <c r="C1087" t="s">
        <v>3925</v>
      </c>
      <c r="D1087" t="s">
        <v>3926</v>
      </c>
      <c r="E1087" t="s">
        <v>67</v>
      </c>
      <c r="F1087" t="s">
        <v>17</v>
      </c>
      <c r="G1087" t="s">
        <v>24</v>
      </c>
      <c r="H1087">
        <f>42295*(1.01^10)</f>
        <v>46719.992794266902</v>
      </c>
      <c r="I1087">
        <f>208317*(1.01^10)</f>
        <v>230111.56729928593</v>
      </c>
      <c r="J1087" t="s">
        <v>3927</v>
      </c>
      <c r="K1087">
        <f t="shared" si="16"/>
        <v>884.18471345176374</v>
      </c>
    </row>
    <row r="1088" spans="1:11" x14ac:dyDescent="0.2">
      <c r="A1088" t="s">
        <v>405</v>
      </c>
      <c r="B1088" t="s">
        <v>305</v>
      </c>
      <c r="C1088" t="s">
        <v>3928</v>
      </c>
      <c r="D1088" t="s">
        <v>3929</v>
      </c>
      <c r="E1088" t="s">
        <v>829</v>
      </c>
      <c r="F1088" t="s">
        <v>17</v>
      </c>
      <c r="G1088" t="s">
        <v>24</v>
      </c>
      <c r="H1088">
        <f>32889*(1.01^10)</f>
        <v>36329.91708264911</v>
      </c>
      <c r="I1088">
        <f>166018*(1.01^10)</f>
        <v>183387.1560165174</v>
      </c>
      <c r="J1088" t="s">
        <v>3930</v>
      </c>
      <c r="K1088">
        <f t="shared" si="16"/>
        <v>1129.7549339440122</v>
      </c>
    </row>
    <row r="1089" spans="1:11" x14ac:dyDescent="0.2">
      <c r="A1089" t="s">
        <v>405</v>
      </c>
      <c r="B1089" t="s">
        <v>305</v>
      </c>
      <c r="C1089" t="s">
        <v>3931</v>
      </c>
      <c r="D1089" t="s">
        <v>3932</v>
      </c>
      <c r="E1089" t="s">
        <v>264</v>
      </c>
      <c r="F1089" t="s">
        <v>17</v>
      </c>
      <c r="G1089" t="s">
        <v>24</v>
      </c>
      <c r="H1089">
        <f>43523*(1.01^10)</f>
        <v>48076.468764271864</v>
      </c>
      <c r="I1089">
        <f>217331*(1.01^10)</f>
        <v>240068.63113774254</v>
      </c>
      <c r="J1089" t="s">
        <v>3933</v>
      </c>
      <c r="K1089">
        <f t="shared" si="16"/>
        <v>1300.5567377191494</v>
      </c>
    </row>
    <row r="1090" spans="1:11" x14ac:dyDescent="0.2">
      <c r="A1090" t="s">
        <v>405</v>
      </c>
      <c r="B1090" t="s">
        <v>305</v>
      </c>
      <c r="C1090" t="s">
        <v>3934</v>
      </c>
      <c r="D1090" t="s">
        <v>3935</v>
      </c>
      <c r="E1090" t="s">
        <v>103</v>
      </c>
      <c r="F1090" t="s">
        <v>24</v>
      </c>
      <c r="G1090" t="s">
        <v>24</v>
      </c>
      <c r="H1090">
        <f>28729*(1.01^10)</f>
        <v>31734.689040938501</v>
      </c>
      <c r="I1090">
        <f>143583*(1.01^10)</f>
        <v>158604.958632917</v>
      </c>
      <c r="J1090" t="s">
        <v>3936</v>
      </c>
      <c r="K1090">
        <f t="shared" si="16"/>
        <v>1419.712385876363</v>
      </c>
    </row>
    <row r="1091" spans="1:11" x14ac:dyDescent="0.2">
      <c r="A1091" t="s">
        <v>405</v>
      </c>
      <c r="B1091" t="s">
        <v>305</v>
      </c>
      <c r="C1091" t="s">
        <v>3937</v>
      </c>
      <c r="D1091" t="s">
        <v>3938</v>
      </c>
      <c r="E1091" t="s">
        <v>445</v>
      </c>
      <c r="F1091" t="s">
        <v>17</v>
      </c>
      <c r="G1091" t="s">
        <v>24</v>
      </c>
      <c r="H1091">
        <f>22909*(1.01^10)</f>
        <v>25305.78827104529</v>
      </c>
      <c r="I1091">
        <f>117282*(1.01^10)</f>
        <v>129552.29211247692</v>
      </c>
      <c r="J1091" t="s">
        <v>3939</v>
      </c>
      <c r="K1091">
        <f t="shared" ref="K1091:K1154" si="17">I1091/J1091</f>
        <v>1375.2381446401107</v>
      </c>
    </row>
    <row r="1092" spans="1:11" x14ac:dyDescent="0.2">
      <c r="A1092" t="s">
        <v>405</v>
      </c>
      <c r="B1092" t="s">
        <v>305</v>
      </c>
      <c r="C1092" t="s">
        <v>3940</v>
      </c>
      <c r="D1092" t="s">
        <v>3941</v>
      </c>
      <c r="E1092" t="s">
        <v>32</v>
      </c>
      <c r="F1092" t="s">
        <v>6</v>
      </c>
      <c r="G1092" t="s">
        <v>24</v>
      </c>
      <c r="H1092">
        <f>70277*(1.01^10)</f>
        <v>77629.529107523238</v>
      </c>
      <c r="I1092">
        <f>361400*(1.01^10)</f>
        <v>399210.43612360937</v>
      </c>
      <c r="J1092" t="s">
        <v>3942</v>
      </c>
      <c r="K1092">
        <f t="shared" si="17"/>
        <v>1472.7003016355341</v>
      </c>
    </row>
    <row r="1093" spans="1:11" x14ac:dyDescent="0.2">
      <c r="A1093" t="s">
        <v>405</v>
      </c>
      <c r="B1093" t="s">
        <v>305</v>
      </c>
      <c r="C1093" t="s">
        <v>3943</v>
      </c>
      <c r="D1093" t="s">
        <v>3944</v>
      </c>
      <c r="E1093" t="s">
        <v>126</v>
      </c>
      <c r="F1093" t="s">
        <v>92</v>
      </c>
      <c r="G1093" t="s">
        <v>24</v>
      </c>
      <c r="H1093">
        <f>65251*(1.01^10)</f>
        <v>72077.698305206519</v>
      </c>
      <c r="I1093">
        <f>320704*(1.01^10)</f>
        <v>354256.73410787503</v>
      </c>
      <c r="J1093" t="s">
        <v>3945</v>
      </c>
      <c r="K1093">
        <f t="shared" si="17"/>
        <v>1959.5844517063554</v>
      </c>
    </row>
    <row r="1094" spans="1:11" x14ac:dyDescent="0.2">
      <c r="A1094" t="s">
        <v>405</v>
      </c>
      <c r="B1094" t="s">
        <v>305</v>
      </c>
      <c r="C1094" t="s">
        <v>3946</v>
      </c>
      <c r="D1094" t="s">
        <v>3725</v>
      </c>
      <c r="E1094" t="s">
        <v>537</v>
      </c>
      <c r="F1094" t="s">
        <v>744</v>
      </c>
      <c r="G1094" t="s">
        <v>17</v>
      </c>
      <c r="H1094">
        <f>62172*(1.01^10)</f>
        <v>68676.566781065427</v>
      </c>
      <c r="I1094">
        <f>323592*(1.01^10)</f>
        <v>357446.88280606258</v>
      </c>
      <c r="J1094" t="s">
        <v>3947</v>
      </c>
      <c r="K1094">
        <f t="shared" si="17"/>
        <v>2395.5811480183111</v>
      </c>
    </row>
    <row r="1095" spans="1:11" x14ac:dyDescent="0.2">
      <c r="A1095" t="s">
        <v>405</v>
      </c>
      <c r="B1095" t="s">
        <v>305</v>
      </c>
      <c r="C1095" t="s">
        <v>3948</v>
      </c>
      <c r="D1095" t="s">
        <v>3949</v>
      </c>
      <c r="E1095" t="s">
        <v>1545</v>
      </c>
      <c r="F1095" t="s">
        <v>382</v>
      </c>
      <c r="G1095" t="s">
        <v>24</v>
      </c>
      <c r="H1095">
        <f>54966*(1.01^10)</f>
        <v>60716.659745352277</v>
      </c>
      <c r="I1095">
        <f>270642*(1.01^10)</f>
        <v>298957.14126553928</v>
      </c>
      <c r="J1095" t="s">
        <v>3950</v>
      </c>
      <c r="K1095">
        <f t="shared" si="17"/>
        <v>1706.0742946499518</v>
      </c>
    </row>
    <row r="1096" spans="1:11" x14ac:dyDescent="0.2">
      <c r="A1096" t="s">
        <v>405</v>
      </c>
      <c r="B1096" t="s">
        <v>305</v>
      </c>
      <c r="C1096" t="s">
        <v>3951</v>
      </c>
      <c r="D1096" t="s">
        <v>3952</v>
      </c>
      <c r="E1096" t="s">
        <v>425</v>
      </c>
      <c r="F1096" t="s">
        <v>12</v>
      </c>
      <c r="G1096" t="s">
        <v>12</v>
      </c>
      <c r="H1096">
        <f>51850*(1.01^10)</f>
        <v>57274.657202570968</v>
      </c>
      <c r="I1096">
        <f>246933*(1.01^10)</f>
        <v>272767.65529416502</v>
      </c>
      <c r="J1096" t="s">
        <v>3953</v>
      </c>
      <c r="K1096">
        <f t="shared" si="17"/>
        <v>1534.7187978292807</v>
      </c>
    </row>
    <row r="1097" spans="1:11" x14ac:dyDescent="0.2">
      <c r="A1097" t="s">
        <v>405</v>
      </c>
      <c r="B1097" t="s">
        <v>305</v>
      </c>
      <c r="C1097" t="s">
        <v>3954</v>
      </c>
      <c r="D1097" t="s">
        <v>3955</v>
      </c>
      <c r="E1097" t="s">
        <v>333</v>
      </c>
      <c r="F1097" t="s">
        <v>17</v>
      </c>
      <c r="G1097" t="s">
        <v>24</v>
      </c>
      <c r="H1097">
        <f>38475*(1.01^10)</f>
        <v>42500.336275196103</v>
      </c>
      <c r="I1097">
        <f>191680*(1.01^10)</f>
        <v>211733.96899881974</v>
      </c>
      <c r="J1097" t="s">
        <v>3956</v>
      </c>
      <c r="K1097">
        <f t="shared" si="17"/>
        <v>1457.0151480634959</v>
      </c>
    </row>
    <row r="1098" spans="1:11" x14ac:dyDescent="0.2">
      <c r="A1098" t="s">
        <v>405</v>
      </c>
      <c r="B1098" t="s">
        <v>305</v>
      </c>
      <c r="C1098" t="s">
        <v>3958</v>
      </c>
      <c r="D1098" t="s">
        <v>3959</v>
      </c>
      <c r="E1098" t="s">
        <v>837</v>
      </c>
      <c r="F1098" t="s">
        <v>744</v>
      </c>
      <c r="G1098" t="s">
        <v>12</v>
      </c>
      <c r="H1098">
        <f>42711*(1.01^10)</f>
        <v>47179.515598437967</v>
      </c>
      <c r="I1098">
        <f>205520*(1.01^10)</f>
        <v>227021.93921451081</v>
      </c>
      <c r="J1098" t="s">
        <v>3960</v>
      </c>
      <c r="K1098">
        <f t="shared" si="17"/>
        <v>1491.2071297404289</v>
      </c>
    </row>
    <row r="1099" spans="1:11" x14ac:dyDescent="0.2">
      <c r="A1099" t="s">
        <v>405</v>
      </c>
      <c r="B1099" t="s">
        <v>305</v>
      </c>
      <c r="C1099" t="s">
        <v>3961</v>
      </c>
      <c r="D1099" t="s">
        <v>3962</v>
      </c>
      <c r="E1099" t="s">
        <v>2795</v>
      </c>
      <c r="F1099" t="s">
        <v>12</v>
      </c>
      <c r="G1099" t="s">
        <v>12</v>
      </c>
      <c r="H1099">
        <f>36741*(1.01^10)</f>
        <v>40584.921509733074</v>
      </c>
      <c r="I1099">
        <f>193088*(1.01^10)</f>
        <v>213289.2769513987</v>
      </c>
      <c r="J1099" t="s">
        <v>3963</v>
      </c>
      <c r="K1099">
        <f t="shared" si="17"/>
        <v>1266.1404639688212</v>
      </c>
    </row>
    <row r="1100" spans="1:11" x14ac:dyDescent="0.2">
      <c r="A1100" t="s">
        <v>405</v>
      </c>
      <c r="B1100" t="s">
        <v>305</v>
      </c>
      <c r="C1100" t="s">
        <v>3964</v>
      </c>
      <c r="D1100" t="s">
        <v>3965</v>
      </c>
      <c r="E1100" t="s">
        <v>142</v>
      </c>
      <c r="F1100" t="s">
        <v>158</v>
      </c>
      <c r="G1100" t="s">
        <v>24</v>
      </c>
      <c r="H1100">
        <f>36887*(1.01^10)</f>
        <v>40746.196340043112</v>
      </c>
      <c r="I1100">
        <f>167841*(1.01^10)</f>
        <v>185400.88215114202</v>
      </c>
      <c r="J1100" t="s">
        <v>3966</v>
      </c>
      <c r="K1100">
        <f t="shared" si="17"/>
        <v>1564.9568967561877</v>
      </c>
    </row>
    <row r="1101" spans="1:11" x14ac:dyDescent="0.2">
      <c r="A1101" t="s">
        <v>405</v>
      </c>
      <c r="B1101" t="s">
        <v>305</v>
      </c>
      <c r="C1101" t="s">
        <v>3967</v>
      </c>
      <c r="D1101" t="s">
        <v>3968</v>
      </c>
      <c r="E1101" t="s">
        <v>1101</v>
      </c>
      <c r="F1101" t="s">
        <v>11</v>
      </c>
      <c r="G1101" t="s">
        <v>24</v>
      </c>
      <c r="H1101">
        <f>58460*(1.01^10)</f>
        <v>64576.209451539027</v>
      </c>
      <c r="I1101">
        <f>267606*(1.01^10)</f>
        <v>295603.50849279086</v>
      </c>
      <c r="J1101" t="s">
        <v>3969</v>
      </c>
      <c r="K1101">
        <f t="shared" si="17"/>
        <v>1263.9111072303449</v>
      </c>
    </row>
    <row r="1102" spans="1:11" x14ac:dyDescent="0.2">
      <c r="A1102" t="s">
        <v>405</v>
      </c>
      <c r="B1102" t="s">
        <v>563</v>
      </c>
      <c r="C1102" t="s">
        <v>3970</v>
      </c>
      <c r="D1102" t="s">
        <v>3971</v>
      </c>
      <c r="E1102" t="s">
        <v>1340</v>
      </c>
      <c r="F1102" t="s">
        <v>12</v>
      </c>
      <c r="G1102" t="s">
        <v>12</v>
      </c>
      <c r="H1102">
        <f>19871*(1.01^10)</f>
        <v>21949.946254046048</v>
      </c>
      <c r="I1102">
        <f>98435*(1.01^10)</f>
        <v>108733.47891485193</v>
      </c>
      <c r="J1102" t="s">
        <v>3972</v>
      </c>
      <c r="K1102">
        <f t="shared" si="17"/>
        <v>837.83242757804703</v>
      </c>
    </row>
    <row r="1103" spans="1:11" x14ac:dyDescent="0.2">
      <c r="A1103" t="s">
        <v>405</v>
      </c>
      <c r="B1103" t="s">
        <v>563</v>
      </c>
      <c r="C1103" t="s">
        <v>3973</v>
      </c>
      <c r="D1103" t="s">
        <v>3974</v>
      </c>
      <c r="E1103" t="s">
        <v>324</v>
      </c>
      <c r="F1103" t="s">
        <v>6</v>
      </c>
      <c r="G1103" t="s">
        <v>12</v>
      </c>
      <c r="H1103">
        <f>40254*(1.01^10)</f>
        <v>44465.459036302636</v>
      </c>
      <c r="I1103">
        <f>202007*(1.01^10)</f>
        <v>223141.40168794122</v>
      </c>
      <c r="J1103" t="s">
        <v>3975</v>
      </c>
      <c r="K1103">
        <f t="shared" si="17"/>
        <v>868.93231879269945</v>
      </c>
    </row>
    <row r="1104" spans="1:11" x14ac:dyDescent="0.2">
      <c r="A1104" t="s">
        <v>405</v>
      </c>
      <c r="B1104" t="s">
        <v>563</v>
      </c>
      <c r="C1104" t="s">
        <v>3976</v>
      </c>
      <c r="D1104" t="s">
        <v>3977</v>
      </c>
      <c r="E1104" t="s">
        <v>425</v>
      </c>
      <c r="F1104" t="s">
        <v>5</v>
      </c>
      <c r="G1104" t="s">
        <v>24</v>
      </c>
      <c r="H1104">
        <f>57430*(1.01^10)</f>
        <v>63438.448662365488</v>
      </c>
      <c r="I1104">
        <f>286456*(1.01^10)</f>
        <v>316425.63555679208</v>
      </c>
      <c r="J1104" t="s">
        <v>3978</v>
      </c>
      <c r="K1104">
        <f t="shared" si="17"/>
        <v>938.79825257976529</v>
      </c>
    </row>
    <row r="1105" spans="1:11" x14ac:dyDescent="0.2">
      <c r="A1105" t="s">
        <v>405</v>
      </c>
      <c r="B1105" t="s">
        <v>563</v>
      </c>
      <c r="C1105" t="s">
        <v>3979</v>
      </c>
      <c r="D1105" t="s">
        <v>3980</v>
      </c>
      <c r="E1105" t="s">
        <v>382</v>
      </c>
      <c r="F1105" t="s">
        <v>12</v>
      </c>
      <c r="G1105" t="s">
        <v>24</v>
      </c>
      <c r="H1105">
        <f>21697*(1.01^10)</f>
        <v>23966.986255046908</v>
      </c>
      <c r="I1105">
        <f>106884*(1.01^10)</f>
        <v>118066.43125245121</v>
      </c>
      <c r="J1105" t="s">
        <v>3981</v>
      </c>
      <c r="K1105">
        <f t="shared" si="17"/>
        <v>1110.931673738937</v>
      </c>
    </row>
    <row r="1106" spans="1:11" x14ac:dyDescent="0.2">
      <c r="A1106" t="s">
        <v>405</v>
      </c>
      <c r="B1106" t="s">
        <v>563</v>
      </c>
      <c r="C1106" t="s">
        <v>3982</v>
      </c>
      <c r="D1106" t="s">
        <v>3983</v>
      </c>
      <c r="E1106" t="s">
        <v>837</v>
      </c>
      <c r="F1106" t="s">
        <v>24</v>
      </c>
      <c r="G1106" t="s">
        <v>24</v>
      </c>
      <c r="H1106">
        <f>41516*(1.01^10)</f>
        <v>45859.492158571578</v>
      </c>
      <c r="I1106">
        <f>215643*(1.01^10)</f>
        <v>238204.02899004842</v>
      </c>
      <c r="J1106" t="s">
        <v>3984</v>
      </c>
      <c r="K1106">
        <f t="shared" si="17"/>
        <v>1174.83620844846</v>
      </c>
    </row>
    <row r="1107" spans="1:11" x14ac:dyDescent="0.2">
      <c r="A1107" t="s">
        <v>405</v>
      </c>
      <c r="B1107" t="s">
        <v>563</v>
      </c>
      <c r="C1107" t="s">
        <v>3985</v>
      </c>
      <c r="D1107" t="s">
        <v>3986</v>
      </c>
      <c r="E1107" t="s">
        <v>16</v>
      </c>
      <c r="F1107" t="s">
        <v>24</v>
      </c>
      <c r="G1107" t="s">
        <v>24</v>
      </c>
      <c r="H1107">
        <f>22626*(1.01^10)</f>
        <v>24993.180209553917</v>
      </c>
      <c r="I1107">
        <f>122772*(1.01^10)</f>
        <v>135616.66758098442</v>
      </c>
      <c r="J1107" t="s">
        <v>3987</v>
      </c>
      <c r="K1107">
        <f t="shared" si="17"/>
        <v>710.34989145475515</v>
      </c>
    </row>
    <row r="1108" spans="1:11" x14ac:dyDescent="0.2">
      <c r="A1108" t="s">
        <v>405</v>
      </c>
      <c r="B1108" t="s">
        <v>563</v>
      </c>
      <c r="C1108" t="s">
        <v>3989</v>
      </c>
      <c r="D1108" t="s">
        <v>3990</v>
      </c>
      <c r="E1108" t="s">
        <v>674</v>
      </c>
      <c r="F1108" t="s">
        <v>24</v>
      </c>
      <c r="G1108" t="s">
        <v>24</v>
      </c>
      <c r="H1108">
        <f>34945*(1.01^10)</f>
        <v>38601.020172494551</v>
      </c>
      <c r="I1108">
        <f>167669*(1.01^10)</f>
        <v>185210.88714557129</v>
      </c>
      <c r="J1108" t="s">
        <v>3991</v>
      </c>
      <c r="K1108">
        <f t="shared" si="17"/>
        <v>790.8489337946362</v>
      </c>
    </row>
    <row r="1109" spans="1:11" x14ac:dyDescent="0.2">
      <c r="A1109" t="s">
        <v>405</v>
      </c>
      <c r="B1109" t="s">
        <v>563</v>
      </c>
      <c r="C1109" t="s">
        <v>3992</v>
      </c>
      <c r="D1109" t="s">
        <v>3993</v>
      </c>
      <c r="E1109" t="s">
        <v>47</v>
      </c>
      <c r="F1109" t="s">
        <v>12</v>
      </c>
      <c r="G1109" t="s">
        <v>24</v>
      </c>
      <c r="H1109">
        <f>29560*(1.01^10)</f>
        <v>32652.630027155214</v>
      </c>
      <c r="I1109">
        <f>145136*(1.01^10)</f>
        <v>160320.43679368062</v>
      </c>
      <c r="J1109" t="s">
        <v>3994</v>
      </c>
      <c r="K1109">
        <f t="shared" si="17"/>
        <v>960.32372901208271</v>
      </c>
    </row>
    <row r="1110" spans="1:11" x14ac:dyDescent="0.2">
      <c r="A1110" t="s">
        <v>405</v>
      </c>
      <c r="B1110" t="s">
        <v>563</v>
      </c>
      <c r="C1110" t="s">
        <v>3995</v>
      </c>
      <c r="D1110" t="s">
        <v>3996</v>
      </c>
      <c r="E1110" t="s">
        <v>777</v>
      </c>
      <c r="F1110" t="s">
        <v>17</v>
      </c>
      <c r="G1110" t="s">
        <v>12</v>
      </c>
      <c r="H1110">
        <f>72689*(1.01^10)</f>
        <v>80293.877674015064</v>
      </c>
      <c r="I1110">
        <f>360198*(1.01^10)</f>
        <v>397882.68032886513</v>
      </c>
      <c r="J1110" t="s">
        <v>3997</v>
      </c>
      <c r="K1110">
        <f t="shared" si="17"/>
        <v>1369.0259342893125</v>
      </c>
    </row>
    <row r="1111" spans="1:11" x14ac:dyDescent="0.2">
      <c r="A1111" t="s">
        <v>405</v>
      </c>
      <c r="B1111" t="s">
        <v>563</v>
      </c>
      <c r="C1111" t="s">
        <v>3998</v>
      </c>
      <c r="D1111" t="s">
        <v>3999</v>
      </c>
      <c r="E1111" t="s">
        <v>142</v>
      </c>
      <c r="F1111" t="s">
        <v>12</v>
      </c>
      <c r="G1111" t="s">
        <v>24</v>
      </c>
      <c r="H1111">
        <f>39878*(1.01^10)</f>
        <v>44050.121117148024</v>
      </c>
      <c r="I1111">
        <f>201399*(1.01^10)</f>
        <v>222469.79143569124</v>
      </c>
      <c r="J1111" t="s">
        <v>4000</v>
      </c>
      <c r="K1111">
        <f t="shared" si="17"/>
        <v>1115.1604428060821</v>
      </c>
    </row>
    <row r="1112" spans="1:11" x14ac:dyDescent="0.2">
      <c r="A1112" t="s">
        <v>405</v>
      </c>
      <c r="B1112" t="s">
        <v>563</v>
      </c>
      <c r="C1112" t="s">
        <v>4001</v>
      </c>
      <c r="D1112" t="s">
        <v>4002</v>
      </c>
      <c r="E1112" t="s">
        <v>1027</v>
      </c>
      <c r="F1112" t="s">
        <v>152</v>
      </c>
      <c r="G1112" t="s">
        <v>24</v>
      </c>
      <c r="H1112">
        <f>62607*(1.01^10)</f>
        <v>69157.077405619289</v>
      </c>
      <c r="I1112">
        <f>322477*(1.01^10)</f>
        <v>356215.22913622909</v>
      </c>
      <c r="J1112" t="s">
        <v>4003</v>
      </c>
      <c r="K1112">
        <f t="shared" si="17"/>
        <v>1148.5009406458676</v>
      </c>
    </row>
    <row r="1113" spans="1:11" x14ac:dyDescent="0.2">
      <c r="A1113" t="s">
        <v>405</v>
      </c>
      <c r="B1113" t="s">
        <v>1955</v>
      </c>
      <c r="C1113" t="s">
        <v>4005</v>
      </c>
      <c r="D1113" t="s">
        <v>4006</v>
      </c>
      <c r="E1113" t="s">
        <v>67</v>
      </c>
      <c r="F1113" t="s">
        <v>12</v>
      </c>
      <c r="G1113" t="s">
        <v>24</v>
      </c>
      <c r="H1113">
        <f>70512*(1.01^10)</f>
        <v>77889.115306994863</v>
      </c>
      <c r="I1113">
        <f>351773*(1.01^10)</f>
        <v>388576.23892227572</v>
      </c>
      <c r="J1113" t="s">
        <v>4007</v>
      </c>
      <c r="K1113">
        <f t="shared" si="17"/>
        <v>916.38815580753896</v>
      </c>
    </row>
    <row r="1114" spans="1:11" x14ac:dyDescent="0.2">
      <c r="A1114" t="s">
        <v>405</v>
      </c>
      <c r="B1114" t="s">
        <v>1955</v>
      </c>
      <c r="C1114" t="s">
        <v>4008</v>
      </c>
      <c r="D1114" t="s">
        <v>4009</v>
      </c>
      <c r="E1114" t="s">
        <v>1002</v>
      </c>
      <c r="F1114" t="s">
        <v>11</v>
      </c>
      <c r="G1114" t="s">
        <v>17</v>
      </c>
      <c r="H1114">
        <f>97526*(1.01^10)</f>
        <v>107729.37740285315</v>
      </c>
      <c r="I1114">
        <f>486120*(1.01^10)</f>
        <v>536978.90760489483</v>
      </c>
      <c r="J1114" t="s">
        <v>4010</v>
      </c>
      <c r="K1114">
        <f t="shared" si="17"/>
        <v>1214.4048091110803</v>
      </c>
    </row>
    <row r="1115" spans="1:11" x14ac:dyDescent="0.2">
      <c r="A1115" t="s">
        <v>405</v>
      </c>
      <c r="B1115" t="s">
        <v>1955</v>
      </c>
      <c r="C1115" t="s">
        <v>4012</v>
      </c>
      <c r="D1115" t="s">
        <v>4013</v>
      </c>
      <c r="E1115" t="s">
        <v>3122</v>
      </c>
      <c r="F1115" t="s">
        <v>382</v>
      </c>
      <c r="G1115" t="s">
        <v>24</v>
      </c>
      <c r="H1115">
        <f>46986*(1.01^10)</f>
        <v>51901.775184570863</v>
      </c>
      <c r="I1115">
        <f>230835*(1.01^10)</f>
        <v>254985.44831929545</v>
      </c>
      <c r="J1115" t="s">
        <v>4014</v>
      </c>
      <c r="K1115">
        <f t="shared" si="17"/>
        <v>1241.0605120225598</v>
      </c>
    </row>
    <row r="1116" spans="1:11" x14ac:dyDescent="0.2">
      <c r="A1116" t="s">
        <v>405</v>
      </c>
      <c r="B1116" t="s">
        <v>1955</v>
      </c>
      <c r="C1116" t="s">
        <v>4015</v>
      </c>
      <c r="D1116" t="s">
        <v>3280</v>
      </c>
      <c r="E1116" t="s">
        <v>324</v>
      </c>
      <c r="F1116" t="s">
        <v>17</v>
      </c>
      <c r="G1116" t="s">
        <v>24</v>
      </c>
      <c r="H1116">
        <f>81327*(1.01^10)</f>
        <v>89835.60359331705</v>
      </c>
      <c r="I1116">
        <f>398977*(1.01^10)</f>
        <v>440718.82173018623</v>
      </c>
      <c r="J1116" t="s">
        <v>4016</v>
      </c>
      <c r="K1116">
        <f t="shared" si="17"/>
        <v>951.94850319754005</v>
      </c>
    </row>
    <row r="1117" spans="1:11" x14ac:dyDescent="0.2">
      <c r="A1117" t="s">
        <v>405</v>
      </c>
      <c r="B1117" t="s">
        <v>1955</v>
      </c>
      <c r="C1117" t="s">
        <v>4017</v>
      </c>
      <c r="D1117" t="s">
        <v>4018</v>
      </c>
      <c r="E1117" t="s">
        <v>1195</v>
      </c>
      <c r="F1117" t="s">
        <v>24</v>
      </c>
      <c r="G1117" t="s">
        <v>12</v>
      </c>
      <c r="H1117">
        <f>94057*(1.01^10)</f>
        <v>103897.44324980168</v>
      </c>
      <c r="I1117">
        <f>465529*(1.01^10)</f>
        <v>514233.63342055271</v>
      </c>
      <c r="J1117" t="s">
        <v>4019</v>
      </c>
      <c r="K1117">
        <f t="shared" si="17"/>
        <v>1750.8209915241375</v>
      </c>
    </row>
    <row r="1118" spans="1:11" x14ac:dyDescent="0.2">
      <c r="A1118" t="s">
        <v>405</v>
      </c>
      <c r="B1118" t="s">
        <v>1955</v>
      </c>
      <c r="C1118" t="s">
        <v>4020</v>
      </c>
      <c r="D1118" t="s">
        <v>4021</v>
      </c>
      <c r="E1118" t="s">
        <v>121</v>
      </c>
      <c r="F1118" t="s">
        <v>12</v>
      </c>
      <c r="G1118" t="s">
        <v>24</v>
      </c>
      <c r="H1118">
        <f>29238*(1.01^10)</f>
        <v>32296.941702772805</v>
      </c>
      <c r="I1118">
        <f>149231*(1.01^10)</f>
        <v>164843.86439723949</v>
      </c>
      <c r="J1118" t="s">
        <v>4022</v>
      </c>
      <c r="K1118">
        <f t="shared" si="17"/>
        <v>767.04422307767015</v>
      </c>
    </row>
    <row r="1119" spans="1:11" x14ac:dyDescent="0.2">
      <c r="A1119" t="s">
        <v>405</v>
      </c>
      <c r="B1119" t="s">
        <v>1955</v>
      </c>
      <c r="C1119" t="s">
        <v>4023</v>
      </c>
      <c r="D1119" t="s">
        <v>4024</v>
      </c>
      <c r="E1119" t="s">
        <v>1580</v>
      </c>
      <c r="F1119" t="s">
        <v>11</v>
      </c>
      <c r="G1119" t="s">
        <v>24</v>
      </c>
      <c r="H1119">
        <f>31513*(1.01^10)</f>
        <v>34809.957038083296</v>
      </c>
      <c r="I1119">
        <f>158543*(1.01^10)</f>
        <v>175130.10562906862</v>
      </c>
      <c r="J1119" t="s">
        <v>4025</v>
      </c>
      <c r="K1119">
        <f t="shared" si="17"/>
        <v>682.23648472562775</v>
      </c>
    </row>
    <row r="1120" spans="1:11" x14ac:dyDescent="0.2">
      <c r="A1120" t="s">
        <v>405</v>
      </c>
      <c r="B1120" t="s">
        <v>1955</v>
      </c>
      <c r="C1120" t="s">
        <v>4027</v>
      </c>
      <c r="D1120" t="s">
        <v>4028</v>
      </c>
      <c r="E1120" t="s">
        <v>40</v>
      </c>
      <c r="F1120" t="s">
        <v>11</v>
      </c>
      <c r="G1120" t="s">
        <v>24</v>
      </c>
      <c r="H1120">
        <f>51258*(1.01^10)</f>
        <v>56620.720904327536</v>
      </c>
      <c r="I1120">
        <f>248369*(1.01^10)</f>
        <v>274353.89266625553</v>
      </c>
      <c r="J1120" t="s">
        <v>4029</v>
      </c>
      <c r="K1120">
        <f t="shared" si="17"/>
        <v>892.57701657292489</v>
      </c>
    </row>
    <row r="1121" spans="1:11" x14ac:dyDescent="0.2">
      <c r="A1121" t="s">
        <v>405</v>
      </c>
      <c r="B1121" t="s">
        <v>1955</v>
      </c>
      <c r="C1121" t="s">
        <v>4030</v>
      </c>
      <c r="D1121" t="s">
        <v>4031</v>
      </c>
      <c r="E1121" t="s">
        <v>148</v>
      </c>
      <c r="F1121" t="s">
        <v>12</v>
      </c>
      <c r="G1121" t="s">
        <v>24</v>
      </c>
      <c r="H1121">
        <f>65725*(1.01^10)</f>
        <v>72601.289192651428</v>
      </c>
      <c r="I1121">
        <f>322192*(1.01^10)</f>
        <v>355900.4118304869</v>
      </c>
      <c r="J1121" t="s">
        <v>4032</v>
      </c>
      <c r="K1121">
        <f t="shared" si="17"/>
        <v>1598.2733578835596</v>
      </c>
    </row>
    <row r="1122" spans="1:11" x14ac:dyDescent="0.2">
      <c r="A1122" t="s">
        <v>405</v>
      </c>
      <c r="B1122" t="s">
        <v>689</v>
      </c>
      <c r="C1122" t="s">
        <v>4033</v>
      </c>
      <c r="D1122" t="s">
        <v>4034</v>
      </c>
      <c r="E1122" t="s">
        <v>394</v>
      </c>
      <c r="F1122" t="s">
        <v>11</v>
      </c>
      <c r="G1122" t="s">
        <v>24</v>
      </c>
      <c r="H1122">
        <f>28581*(1.01^10)</f>
        <v>31571.204966377642</v>
      </c>
      <c r="I1122">
        <f>141039*(1.01^10)</f>
        <v>155794.79994587091</v>
      </c>
      <c r="J1122" t="s">
        <v>4035</v>
      </c>
      <c r="K1122">
        <f t="shared" si="17"/>
        <v>764.80936756030428</v>
      </c>
    </row>
    <row r="1123" spans="1:11" x14ac:dyDescent="0.2">
      <c r="A1123" t="s">
        <v>405</v>
      </c>
      <c r="B1123" t="s">
        <v>689</v>
      </c>
      <c r="C1123" t="s">
        <v>4036</v>
      </c>
      <c r="D1123" t="s">
        <v>4037</v>
      </c>
      <c r="E1123" t="s">
        <v>410</v>
      </c>
      <c r="F1123" t="s">
        <v>12</v>
      </c>
      <c r="G1123" t="s">
        <v>24</v>
      </c>
      <c r="H1123">
        <f>42381*(1.01^10)</f>
        <v>46814.990297052267</v>
      </c>
      <c r="I1123">
        <f>208356*(1.01^10)</f>
        <v>230154.64756217698</v>
      </c>
      <c r="J1123" t="s">
        <v>4038</v>
      </c>
      <c r="K1123">
        <f t="shared" si="17"/>
        <v>849.09733284796573</v>
      </c>
    </row>
    <row r="1124" spans="1:11" x14ac:dyDescent="0.2">
      <c r="A1124" t="s">
        <v>405</v>
      </c>
      <c r="B1124" t="s">
        <v>689</v>
      </c>
      <c r="C1124" t="s">
        <v>4039</v>
      </c>
      <c r="D1124" t="s">
        <v>4040</v>
      </c>
      <c r="E1124" t="s">
        <v>399</v>
      </c>
      <c r="F1124" t="s">
        <v>318</v>
      </c>
      <c r="G1124" t="s">
        <v>12</v>
      </c>
      <c r="H1124">
        <f>57914*(1.01^10)</f>
        <v>63973.085771064514</v>
      </c>
      <c r="I1124">
        <f>291671*(1.01^10)</f>
        <v>322186.23994081147</v>
      </c>
      <c r="J1124" t="s">
        <v>4041</v>
      </c>
      <c r="K1124">
        <f t="shared" si="17"/>
        <v>802.06771571006811</v>
      </c>
    </row>
    <row r="1125" spans="1:11" x14ac:dyDescent="0.2">
      <c r="A1125" t="s">
        <v>405</v>
      </c>
      <c r="B1125" t="s">
        <v>689</v>
      </c>
      <c r="C1125" t="s">
        <v>4042</v>
      </c>
      <c r="D1125" t="s">
        <v>4043</v>
      </c>
      <c r="E1125" t="s">
        <v>784</v>
      </c>
      <c r="F1125" t="s">
        <v>152</v>
      </c>
      <c r="G1125" t="s">
        <v>24</v>
      </c>
      <c r="H1125">
        <f>52702*(1.01^10)</f>
        <v>58215.795253421311</v>
      </c>
      <c r="I1125">
        <f>262494*(1.01^10)</f>
        <v>289956.68018768879</v>
      </c>
      <c r="J1125" t="s">
        <v>4044</v>
      </c>
      <c r="K1125">
        <f t="shared" si="17"/>
        <v>820.27380619969244</v>
      </c>
    </row>
    <row r="1126" spans="1:11" x14ac:dyDescent="0.2">
      <c r="A1126" t="s">
        <v>405</v>
      </c>
      <c r="B1126" t="s">
        <v>689</v>
      </c>
      <c r="C1126" t="s">
        <v>4045</v>
      </c>
      <c r="D1126" t="s">
        <v>4046</v>
      </c>
      <c r="E1126" t="s">
        <v>489</v>
      </c>
      <c r="F1126" t="s">
        <v>17</v>
      </c>
      <c r="G1126" t="s">
        <v>12</v>
      </c>
      <c r="H1126">
        <f>52574*(1.01^10)</f>
        <v>58074.403621368678</v>
      </c>
      <c r="I1126">
        <f>253582*(1.01^10)</f>
        <v>280112.28780602413</v>
      </c>
      <c r="J1126" t="s">
        <v>4047</v>
      </c>
      <c r="K1126">
        <f t="shared" si="17"/>
        <v>944.63894315054176</v>
      </c>
    </row>
    <row r="1127" spans="1:11" x14ac:dyDescent="0.2">
      <c r="A1127" t="s">
        <v>405</v>
      </c>
      <c r="B1127" t="s">
        <v>689</v>
      </c>
      <c r="C1127" t="s">
        <v>4048</v>
      </c>
      <c r="D1127" t="s">
        <v>4049</v>
      </c>
      <c r="E1127" t="s">
        <v>320</v>
      </c>
      <c r="F1127" t="s">
        <v>6</v>
      </c>
      <c r="G1127" t="s">
        <v>24</v>
      </c>
      <c r="H1127">
        <f>57037*(1.01^10)</f>
        <v>63004.332167078886</v>
      </c>
      <c r="I1127">
        <f>292124*(1.01^10)</f>
        <v>322686.63376362278</v>
      </c>
      <c r="J1127" t="s">
        <v>4050</v>
      </c>
      <c r="K1127">
        <f t="shared" si="17"/>
        <v>1556.0745192334584</v>
      </c>
    </row>
    <row r="1128" spans="1:11" x14ac:dyDescent="0.2">
      <c r="A1128" t="s">
        <v>405</v>
      </c>
      <c r="B1128" t="s">
        <v>689</v>
      </c>
      <c r="C1128" t="s">
        <v>4051</v>
      </c>
      <c r="D1128" t="s">
        <v>2597</v>
      </c>
      <c r="E1128" t="s">
        <v>121</v>
      </c>
      <c r="F1128" t="s">
        <v>5</v>
      </c>
      <c r="G1128" t="s">
        <v>12</v>
      </c>
      <c r="H1128">
        <f>47256*(1.01^10)</f>
        <v>52200.02315843189</v>
      </c>
      <c r="I1128">
        <f>241134*(1.01^10)</f>
        <v>266361.95158890542</v>
      </c>
      <c r="J1128" t="s">
        <v>4052</v>
      </c>
      <c r="K1128">
        <f t="shared" si="17"/>
        <v>1773.7702389471567</v>
      </c>
    </row>
    <row r="1129" spans="1:11" x14ac:dyDescent="0.2">
      <c r="A1129" t="s">
        <v>405</v>
      </c>
      <c r="B1129" t="s">
        <v>738</v>
      </c>
      <c r="C1129" t="s">
        <v>4053</v>
      </c>
      <c r="D1129" t="s">
        <v>4054</v>
      </c>
      <c r="E1129" t="s">
        <v>1195</v>
      </c>
      <c r="F1129" t="s">
        <v>427</v>
      </c>
      <c r="G1129" t="s">
        <v>12</v>
      </c>
      <c r="H1129">
        <f>68521*(1.01^10)</f>
        <v>75689.812655301153</v>
      </c>
      <c r="I1129">
        <f>351415*(1.01^10)</f>
        <v>388180.78420137853</v>
      </c>
      <c r="J1129" t="s">
        <v>4055</v>
      </c>
      <c r="K1129">
        <f t="shared" si="17"/>
        <v>1043.5294155767051</v>
      </c>
    </row>
    <row r="1130" spans="1:11" x14ac:dyDescent="0.2">
      <c r="A1130" t="s">
        <v>405</v>
      </c>
      <c r="B1130" t="s">
        <v>738</v>
      </c>
      <c r="C1130" t="s">
        <v>4056</v>
      </c>
      <c r="D1130" t="s">
        <v>4057</v>
      </c>
      <c r="E1130" t="s">
        <v>619</v>
      </c>
      <c r="F1130" t="s">
        <v>744</v>
      </c>
      <c r="G1130" t="s">
        <v>24</v>
      </c>
      <c r="H1130">
        <f>41159*(1.01^10)</f>
        <v>45465.142059799779</v>
      </c>
      <c r="I1130">
        <f>209000*(1.01^10)</f>
        <v>230866.0242109418</v>
      </c>
      <c r="J1130" t="s">
        <v>4058</v>
      </c>
      <c r="K1130">
        <f t="shared" si="17"/>
        <v>979.61906214762962</v>
      </c>
    </row>
    <row r="1131" spans="1:11" x14ac:dyDescent="0.2">
      <c r="A1131" t="s">
        <v>405</v>
      </c>
      <c r="B1131" t="s">
        <v>738</v>
      </c>
      <c r="C1131" t="s">
        <v>4059</v>
      </c>
      <c r="D1131" t="s">
        <v>4060</v>
      </c>
      <c r="E1131" t="s">
        <v>232</v>
      </c>
      <c r="F1131" t="s">
        <v>796</v>
      </c>
      <c r="G1131" t="s">
        <v>24</v>
      </c>
      <c r="H1131">
        <f>30772*(1.01^10)</f>
        <v>33991.432043153589</v>
      </c>
      <c r="I1131">
        <f>161720*(1.01^10)</f>
        <v>178639.49012150004</v>
      </c>
      <c r="J1131" t="s">
        <v>4061</v>
      </c>
      <c r="K1131">
        <f t="shared" si="17"/>
        <v>1230.3551765614257</v>
      </c>
    </row>
    <row r="1132" spans="1:11" x14ac:dyDescent="0.2">
      <c r="A1132" t="s">
        <v>405</v>
      </c>
      <c r="B1132" t="s">
        <v>738</v>
      </c>
      <c r="C1132" t="s">
        <v>4063</v>
      </c>
      <c r="D1132" t="s">
        <v>4064</v>
      </c>
      <c r="E1132" t="s">
        <v>674</v>
      </c>
      <c r="F1132" t="s">
        <v>108</v>
      </c>
      <c r="G1132" t="s">
        <v>24</v>
      </c>
      <c r="H1132">
        <f>47144*(1.01^10)</f>
        <v>52076.305480385839</v>
      </c>
      <c r="I1132">
        <f>234686*(1.01^10)</f>
        <v>259239.348124254</v>
      </c>
      <c r="J1132" t="s">
        <v>4065</v>
      </c>
      <c r="K1132">
        <f t="shared" si="17"/>
        <v>906.16053461234083</v>
      </c>
    </row>
    <row r="1133" spans="1:11" x14ac:dyDescent="0.2">
      <c r="A1133" t="s">
        <v>405</v>
      </c>
      <c r="B1133" t="s">
        <v>738</v>
      </c>
      <c r="C1133" t="s">
        <v>4066</v>
      </c>
      <c r="D1133" t="s">
        <v>4067</v>
      </c>
      <c r="E1133" t="s">
        <v>777</v>
      </c>
      <c r="F1133" t="s">
        <v>744</v>
      </c>
      <c r="G1133" t="s">
        <v>24</v>
      </c>
      <c r="H1133">
        <f>55911*(1.01^10)</f>
        <v>61760.527653865865</v>
      </c>
      <c r="I1133">
        <f>288084*(1.01^10)</f>
        <v>318223.96037696151</v>
      </c>
      <c r="J1133" t="s">
        <v>4068</v>
      </c>
      <c r="K1133">
        <f t="shared" si="17"/>
        <v>920.9108922770971</v>
      </c>
    </row>
    <row r="1134" spans="1:11" x14ac:dyDescent="0.2">
      <c r="A1134" t="s">
        <v>405</v>
      </c>
      <c r="B1134" t="s">
        <v>738</v>
      </c>
      <c r="C1134" t="s">
        <v>4069</v>
      </c>
      <c r="D1134" t="s">
        <v>4070</v>
      </c>
      <c r="E1134" t="s">
        <v>121</v>
      </c>
      <c r="F1134" t="s">
        <v>44</v>
      </c>
      <c r="G1134" t="s">
        <v>24</v>
      </c>
      <c r="H1134">
        <f>46461*(1.01^10)</f>
        <v>51321.848568729984</v>
      </c>
      <c r="I1134">
        <f>230504*(1.01^10)</f>
        <v>254619.81839578433</v>
      </c>
      <c r="J1134" t="s">
        <v>4071</v>
      </c>
      <c r="K1134">
        <f t="shared" si="17"/>
        <v>898.04251355298686</v>
      </c>
    </row>
    <row r="1135" spans="1:11" x14ac:dyDescent="0.2">
      <c r="A1135" t="s">
        <v>405</v>
      </c>
      <c r="B1135" t="s">
        <v>738</v>
      </c>
      <c r="C1135" t="s">
        <v>4072</v>
      </c>
      <c r="D1135" t="s">
        <v>4073</v>
      </c>
      <c r="E1135" t="s">
        <v>168</v>
      </c>
      <c r="F1135" t="s">
        <v>158</v>
      </c>
      <c r="G1135" t="s">
        <v>12</v>
      </c>
      <c r="H1135">
        <f>85196*(1.01^10)</f>
        <v>94109.386596533004</v>
      </c>
      <c r="I1135">
        <f>445326*(1.01^10)</f>
        <v>491916.95262087014</v>
      </c>
      <c r="J1135" t="s">
        <v>4074</v>
      </c>
      <c r="K1135">
        <f t="shared" si="17"/>
        <v>1919.228915460541</v>
      </c>
    </row>
    <row r="1136" spans="1:11" x14ac:dyDescent="0.2">
      <c r="A1136" t="s">
        <v>405</v>
      </c>
      <c r="B1136" t="s">
        <v>738</v>
      </c>
      <c r="C1136" t="s">
        <v>4075</v>
      </c>
      <c r="D1136" t="s">
        <v>4076</v>
      </c>
      <c r="E1136" t="s">
        <v>612</v>
      </c>
      <c r="F1136" t="s">
        <v>17</v>
      </c>
      <c r="G1136" t="s">
        <v>12</v>
      </c>
      <c r="H1136">
        <f>37485*(1.01^10)</f>
        <v>41406.76037103901</v>
      </c>
      <c r="I1136">
        <f>188341*(1.01^10)</f>
        <v>208045.63572207172</v>
      </c>
      <c r="J1136" t="s">
        <v>4077</v>
      </c>
      <c r="K1136">
        <f t="shared" si="17"/>
        <v>1301.4071078520617</v>
      </c>
    </row>
    <row r="1137" spans="1:11" x14ac:dyDescent="0.2">
      <c r="A1137" t="s">
        <v>405</v>
      </c>
      <c r="B1137" t="s">
        <v>738</v>
      </c>
      <c r="C1137" t="s">
        <v>4078</v>
      </c>
      <c r="D1137" t="s">
        <v>1322</v>
      </c>
      <c r="E1137" t="s">
        <v>313</v>
      </c>
      <c r="F1137" t="s">
        <v>24</v>
      </c>
      <c r="G1137" t="s">
        <v>24</v>
      </c>
      <c r="H1137">
        <f>22223*(1.01^10)</f>
        <v>24548.017493013202</v>
      </c>
      <c r="I1137">
        <f>110058*(1.01^10)</f>
        <v>121572.50187850637</v>
      </c>
      <c r="J1137" t="s">
        <v>4079</v>
      </c>
      <c r="K1137">
        <f t="shared" si="17"/>
        <v>761.42853939418001</v>
      </c>
    </row>
    <row r="1138" spans="1:11" x14ac:dyDescent="0.2">
      <c r="A1138" t="s">
        <v>405</v>
      </c>
      <c r="B1138" t="s">
        <v>738</v>
      </c>
      <c r="C1138" t="s">
        <v>4080</v>
      </c>
      <c r="D1138" t="s">
        <v>4081</v>
      </c>
      <c r="E1138" t="s">
        <v>333</v>
      </c>
      <c r="F1138" t="s">
        <v>12</v>
      </c>
      <c r="G1138" t="s">
        <v>24</v>
      </c>
      <c r="H1138">
        <f>23098*(1.01^10)</f>
        <v>25514.561852748007</v>
      </c>
      <c r="I1138">
        <f>112951*(1.01^10)</f>
        <v>124768.17368732099</v>
      </c>
      <c r="J1138" t="s">
        <v>4082</v>
      </c>
      <c r="K1138">
        <f t="shared" si="17"/>
        <v>1088.3985711474522</v>
      </c>
    </row>
    <row r="1139" spans="1:11" x14ac:dyDescent="0.2">
      <c r="A1139" t="s">
        <v>405</v>
      </c>
      <c r="B1139" t="s">
        <v>738</v>
      </c>
      <c r="C1139" t="s">
        <v>4083</v>
      </c>
      <c r="D1139" t="s">
        <v>4084</v>
      </c>
      <c r="E1139" t="s">
        <v>2949</v>
      </c>
      <c r="F1139" t="s">
        <v>382</v>
      </c>
      <c r="G1139" t="s">
        <v>24</v>
      </c>
      <c r="H1139">
        <f>60042*(1.01^10)</f>
        <v>66323.721653939559</v>
      </c>
      <c r="I1139">
        <f>290559*(1.01^10)</f>
        <v>320957.90013735421</v>
      </c>
      <c r="J1139" t="s">
        <v>4085</v>
      </c>
      <c r="K1139">
        <f t="shared" si="17"/>
        <v>1599.2390619909199</v>
      </c>
    </row>
    <row r="1140" spans="1:11" x14ac:dyDescent="0.2">
      <c r="A1140" t="s">
        <v>405</v>
      </c>
      <c r="B1140" t="s">
        <v>738</v>
      </c>
      <c r="C1140" t="s">
        <v>4086</v>
      </c>
      <c r="D1140" t="s">
        <v>4087</v>
      </c>
      <c r="E1140" t="s">
        <v>4</v>
      </c>
      <c r="F1140" t="s">
        <v>318</v>
      </c>
      <c r="G1140" t="s">
        <v>24</v>
      </c>
      <c r="H1140">
        <f>39106*(1.01^10)</f>
        <v>43197.352836330574</v>
      </c>
      <c r="I1140">
        <f>193127*(1.01^10)</f>
        <v>213332.35721428975</v>
      </c>
      <c r="J1140" t="s">
        <v>4088</v>
      </c>
      <c r="K1140">
        <f t="shared" si="17"/>
        <v>775.73066345369841</v>
      </c>
    </row>
    <row r="1141" spans="1:11" x14ac:dyDescent="0.2">
      <c r="A1141" t="s">
        <v>405</v>
      </c>
      <c r="B1141" t="s">
        <v>738</v>
      </c>
      <c r="C1141" t="s">
        <v>4089</v>
      </c>
      <c r="D1141" t="s">
        <v>4090</v>
      </c>
      <c r="E1141" t="s">
        <v>436</v>
      </c>
      <c r="F1141" t="s">
        <v>445</v>
      </c>
      <c r="G1141" t="s">
        <v>24</v>
      </c>
      <c r="H1141">
        <f>45092*(1.01^10)</f>
        <v>49809.620879042042</v>
      </c>
      <c r="I1141">
        <f>227706*(1.01^10)</f>
        <v>251529.08568888379</v>
      </c>
      <c r="J1141" t="s">
        <v>4091</v>
      </c>
      <c r="K1141">
        <f t="shared" si="17"/>
        <v>1423.9672687022685</v>
      </c>
    </row>
    <row r="1142" spans="1:11" x14ac:dyDescent="0.2">
      <c r="A1142" t="s">
        <v>405</v>
      </c>
      <c r="B1142" t="s">
        <v>738</v>
      </c>
      <c r="C1142" t="s">
        <v>4092</v>
      </c>
      <c r="D1142" t="s">
        <v>4093</v>
      </c>
      <c r="E1142" t="s">
        <v>759</v>
      </c>
      <c r="F1142" t="s">
        <v>318</v>
      </c>
      <c r="G1142" t="s">
        <v>24</v>
      </c>
      <c r="H1142">
        <f>45567*(1.01^10)</f>
        <v>50334.316388612366</v>
      </c>
      <c r="I1142">
        <f>221142*(1.01^10)</f>
        <v>244278.34605768463</v>
      </c>
      <c r="J1142" t="s">
        <v>4094</v>
      </c>
      <c r="K1142">
        <f t="shared" si="17"/>
        <v>1119.663480116182</v>
      </c>
    </row>
    <row r="1143" spans="1:11" x14ac:dyDescent="0.2">
      <c r="A1143" t="s">
        <v>405</v>
      </c>
      <c r="B1143" t="s">
        <v>1994</v>
      </c>
      <c r="C1143" t="s">
        <v>4095</v>
      </c>
      <c r="D1143" t="s">
        <v>4096</v>
      </c>
      <c r="E1143" t="s">
        <v>612</v>
      </c>
      <c r="F1143" t="s">
        <v>458</v>
      </c>
      <c r="G1143" t="s">
        <v>24</v>
      </c>
      <c r="H1143">
        <f>31090*(1.01^10)</f>
        <v>34342.701879034357</v>
      </c>
      <c r="I1143">
        <f>155663*(1.01^10)</f>
        <v>171948.79390788436</v>
      </c>
      <c r="J1143" t="s">
        <v>4097</v>
      </c>
      <c r="K1143">
        <f t="shared" si="17"/>
        <v>817.30487372295852</v>
      </c>
    </row>
    <row r="1144" spans="1:11" x14ac:dyDescent="0.2">
      <c r="A1144" t="s">
        <v>405</v>
      </c>
      <c r="B1144" t="s">
        <v>1994</v>
      </c>
      <c r="C1144" t="s">
        <v>4098</v>
      </c>
      <c r="D1144" t="s">
        <v>4099</v>
      </c>
      <c r="E1144" t="s">
        <v>777</v>
      </c>
      <c r="F1144" t="s">
        <v>382</v>
      </c>
      <c r="G1144" t="s">
        <v>24</v>
      </c>
      <c r="H1144">
        <f>54527*(1.01^10)</f>
        <v>60231.730632296763</v>
      </c>
      <c r="I1144">
        <f>282813*(1.01^10)</f>
        <v>312401.49715391907</v>
      </c>
      <c r="J1144" t="s">
        <v>4100</v>
      </c>
      <c r="K1144">
        <f t="shared" si="17"/>
        <v>965.51811388698206</v>
      </c>
    </row>
    <row r="1145" spans="1:11" x14ac:dyDescent="0.2">
      <c r="A1145" t="s">
        <v>405</v>
      </c>
      <c r="B1145" t="s">
        <v>1994</v>
      </c>
      <c r="C1145" t="s">
        <v>4101</v>
      </c>
      <c r="D1145" t="s">
        <v>4102</v>
      </c>
      <c r="E1145" t="s">
        <v>16</v>
      </c>
      <c r="F1145" t="s">
        <v>17</v>
      </c>
      <c r="G1145" t="s">
        <v>24</v>
      </c>
      <c r="H1145">
        <f>11400*(1.01^10)</f>
        <v>12592.692229687735</v>
      </c>
      <c r="I1145">
        <f>55906*(1.01^10)</f>
        <v>61755.004543238814</v>
      </c>
      <c r="J1145" t="s">
        <v>4103</v>
      </c>
      <c r="K1145">
        <f t="shared" si="17"/>
        <v>883.45431737949707</v>
      </c>
    </row>
    <row r="1146" spans="1:11" x14ac:dyDescent="0.2">
      <c r="A1146" t="s">
        <v>405</v>
      </c>
      <c r="B1146" t="s">
        <v>1994</v>
      </c>
      <c r="C1146" t="s">
        <v>4104</v>
      </c>
      <c r="D1146" t="s">
        <v>4105</v>
      </c>
      <c r="E1146" t="s">
        <v>722</v>
      </c>
      <c r="F1146" t="s">
        <v>1656</v>
      </c>
      <c r="G1146" t="s">
        <v>24</v>
      </c>
      <c r="H1146">
        <f>72373*(1.01^10)</f>
        <v>79944.817082385125</v>
      </c>
      <c r="I1146">
        <f>346902*(1.01^10)</f>
        <v>383195.62454939773</v>
      </c>
      <c r="J1146" t="s">
        <v>4106</v>
      </c>
      <c r="K1146">
        <f t="shared" si="17"/>
        <v>1108.3576402093036</v>
      </c>
    </row>
    <row r="1147" spans="1:11" x14ac:dyDescent="0.2">
      <c r="A1147" t="s">
        <v>405</v>
      </c>
      <c r="B1147" t="s">
        <v>1994</v>
      </c>
      <c r="C1147" t="s">
        <v>4107</v>
      </c>
      <c r="D1147" t="s">
        <v>3416</v>
      </c>
      <c r="E1147" t="s">
        <v>1576</v>
      </c>
      <c r="F1147" t="s">
        <v>77</v>
      </c>
      <c r="G1147" t="s">
        <v>24</v>
      </c>
      <c r="H1147">
        <f>32816*(1.01^10)</f>
        <v>36249.279667494098</v>
      </c>
      <c r="I1147">
        <f>158976*(1.01^10)</f>
        <v>175608.40700937167</v>
      </c>
      <c r="J1147" t="s">
        <v>4108</v>
      </c>
      <c r="K1147">
        <f t="shared" si="17"/>
        <v>779.54913832681086</v>
      </c>
    </row>
    <row r="1148" spans="1:11" x14ac:dyDescent="0.2">
      <c r="A1148" t="s">
        <v>405</v>
      </c>
      <c r="B1148" t="s">
        <v>1994</v>
      </c>
      <c r="C1148" t="s">
        <v>4109</v>
      </c>
      <c r="D1148" t="s">
        <v>4110</v>
      </c>
      <c r="E1148" t="s">
        <v>507</v>
      </c>
      <c r="F1148" t="s">
        <v>458</v>
      </c>
      <c r="G1148" t="s">
        <v>12</v>
      </c>
      <c r="H1148">
        <f>71244*(1.01^10)</f>
        <v>78697.698702795868</v>
      </c>
      <c r="I1148">
        <f>344133*(1.01^10)</f>
        <v>380136.92588413414</v>
      </c>
      <c r="J1148" t="s">
        <v>4111</v>
      </c>
      <c r="K1148">
        <f t="shared" si="17"/>
        <v>1634.0643258744983</v>
      </c>
    </row>
    <row r="1149" spans="1:11" x14ac:dyDescent="0.2">
      <c r="A1149" t="s">
        <v>405</v>
      </c>
      <c r="B1149" t="s">
        <v>1994</v>
      </c>
      <c r="C1149" t="s">
        <v>4112</v>
      </c>
      <c r="D1149" t="s">
        <v>4113</v>
      </c>
      <c r="E1149" t="s">
        <v>786</v>
      </c>
      <c r="F1149" t="s">
        <v>422</v>
      </c>
      <c r="G1149" t="s">
        <v>24</v>
      </c>
      <c r="H1149">
        <f>67875*(1.01^10)</f>
        <v>74976.226762285529</v>
      </c>
      <c r="I1149">
        <f>315610*(1.01^10)</f>
        <v>348629.78900103032</v>
      </c>
      <c r="J1149" t="s">
        <v>4114</v>
      </c>
      <c r="K1149">
        <f t="shared" si="17"/>
        <v>1185.4803480526534</v>
      </c>
    </row>
    <row r="1150" spans="1:11" x14ac:dyDescent="0.2">
      <c r="A1150" t="s">
        <v>405</v>
      </c>
      <c r="B1150" t="s">
        <v>1994</v>
      </c>
      <c r="C1150" t="s">
        <v>4115</v>
      </c>
      <c r="D1150" t="s">
        <v>4116</v>
      </c>
      <c r="E1150" t="s">
        <v>1054</v>
      </c>
      <c r="F1150" t="s">
        <v>744</v>
      </c>
      <c r="G1150" t="s">
        <v>24</v>
      </c>
      <c r="H1150">
        <f>29835*(1.01^10)</f>
        <v>32956.401111643296</v>
      </c>
      <c r="I1150">
        <f>144297*(1.01^10)</f>
        <v>159393.6588304606</v>
      </c>
      <c r="J1150" t="s">
        <v>4117</v>
      </c>
      <c r="K1150">
        <f t="shared" si="17"/>
        <v>1290.6689943811641</v>
      </c>
    </row>
    <row r="1151" spans="1:11" x14ac:dyDescent="0.2">
      <c r="A1151" t="s">
        <v>405</v>
      </c>
      <c r="B1151" t="s">
        <v>1994</v>
      </c>
      <c r="C1151" t="s">
        <v>4118</v>
      </c>
      <c r="D1151" t="s">
        <v>4119</v>
      </c>
      <c r="E1151" t="s">
        <v>764</v>
      </c>
      <c r="F1151" t="s">
        <v>11</v>
      </c>
      <c r="G1151" t="s">
        <v>24</v>
      </c>
      <c r="H1151">
        <f>14588*(1.01^10)</f>
        <v>16114.227565498655</v>
      </c>
      <c r="I1151">
        <f>68055*(1.01^10)</f>
        <v>75175.058744859532</v>
      </c>
      <c r="J1151" t="s">
        <v>4120</v>
      </c>
      <c r="K1151">
        <f t="shared" si="17"/>
        <v>992.8384778902772</v>
      </c>
    </row>
    <row r="1152" spans="1:11" x14ac:dyDescent="0.2">
      <c r="A1152" t="s">
        <v>405</v>
      </c>
      <c r="B1152" t="s">
        <v>1994</v>
      </c>
      <c r="C1152" t="s">
        <v>4121</v>
      </c>
      <c r="D1152" t="s">
        <v>4122</v>
      </c>
      <c r="E1152" t="s">
        <v>427</v>
      </c>
      <c r="F1152" t="s">
        <v>92</v>
      </c>
      <c r="G1152" t="s">
        <v>12</v>
      </c>
      <c r="H1152">
        <f>62850*(1.01^10)</f>
        <v>69425.500582094217</v>
      </c>
      <c r="I1152">
        <f>321817*(1.01^10)</f>
        <v>355486.17853345769</v>
      </c>
      <c r="J1152" t="s">
        <v>4123</v>
      </c>
      <c r="K1152">
        <f t="shared" si="17"/>
        <v>3102.3710456750841</v>
      </c>
    </row>
    <row r="1153" spans="1:11" x14ac:dyDescent="0.2">
      <c r="A1153" t="s">
        <v>405</v>
      </c>
      <c r="B1153" t="s">
        <v>1994</v>
      </c>
      <c r="C1153" t="s">
        <v>4124</v>
      </c>
      <c r="D1153" t="s">
        <v>4125</v>
      </c>
      <c r="E1153" t="s">
        <v>427</v>
      </c>
      <c r="F1153" t="s">
        <v>24</v>
      </c>
      <c r="G1153" t="s">
        <v>24</v>
      </c>
      <c r="H1153">
        <f>16564*(1.01^10)</f>
        <v>18296.960885311197</v>
      </c>
      <c r="I1153">
        <f>84257*(1.01^10)</f>
        <v>93072.146420771882</v>
      </c>
      <c r="J1153" t="s">
        <v>4126</v>
      </c>
      <c r="K1153">
        <f t="shared" si="17"/>
        <v>1646.2941386817313</v>
      </c>
    </row>
    <row r="1154" spans="1:11" x14ac:dyDescent="0.2">
      <c r="A1154" t="s">
        <v>405</v>
      </c>
      <c r="B1154" t="s">
        <v>1994</v>
      </c>
      <c r="C1154" t="s">
        <v>4127</v>
      </c>
      <c r="D1154" t="s">
        <v>4128</v>
      </c>
      <c r="E1154" t="s">
        <v>2795</v>
      </c>
      <c r="F1154" t="s">
        <v>829</v>
      </c>
      <c r="G1154" t="s">
        <v>24</v>
      </c>
      <c r="H1154">
        <f>53773*(1.01^10)</f>
        <v>59398.84554973671</v>
      </c>
      <c r="I1154">
        <f>285381*(1.01^10)</f>
        <v>315238.166771975</v>
      </c>
      <c r="J1154" t="s">
        <v>4129</v>
      </c>
      <c r="K1154">
        <f t="shared" si="17"/>
        <v>1116.3662213959212</v>
      </c>
    </row>
    <row r="1155" spans="1:11" x14ac:dyDescent="0.2">
      <c r="A1155" t="s">
        <v>405</v>
      </c>
      <c r="B1155" t="s">
        <v>1994</v>
      </c>
      <c r="C1155" t="s">
        <v>4130</v>
      </c>
      <c r="D1155" t="s">
        <v>4131</v>
      </c>
      <c r="E1155" t="s">
        <v>61</v>
      </c>
      <c r="F1155" t="s">
        <v>458</v>
      </c>
      <c r="G1155" t="s">
        <v>24</v>
      </c>
      <c r="H1155">
        <f>16702*(1.01^10)</f>
        <v>18449.398738617943</v>
      </c>
      <c r="I1155">
        <f>84486*(1.01^10)</f>
        <v>93325.104887491048</v>
      </c>
      <c r="J1155" t="s">
        <v>4132</v>
      </c>
      <c r="K1155">
        <f t="shared" ref="K1155:K1218" si="18">I1155/J1155</f>
        <v>858.25356573814986</v>
      </c>
    </row>
    <row r="1156" spans="1:11" x14ac:dyDescent="0.2">
      <c r="A1156" t="s">
        <v>405</v>
      </c>
      <c r="B1156" t="s">
        <v>1994</v>
      </c>
      <c r="C1156" t="s">
        <v>4133</v>
      </c>
      <c r="D1156" t="s">
        <v>4134</v>
      </c>
      <c r="E1156" t="s">
        <v>405</v>
      </c>
      <c r="F1156" t="s">
        <v>422</v>
      </c>
      <c r="G1156" t="s">
        <v>24</v>
      </c>
      <c r="H1156">
        <f>12533*(1.01^10)</f>
        <v>13844.229097778629</v>
      </c>
      <c r="I1156">
        <f>63928*(1.01^10)</f>
        <v>70616.283233287497</v>
      </c>
      <c r="J1156" t="s">
        <v>4135</v>
      </c>
      <c r="K1156">
        <f t="shared" si="18"/>
        <v>452.47055853874741</v>
      </c>
    </row>
    <row r="1157" spans="1:11" x14ac:dyDescent="0.2">
      <c r="A1157" t="s">
        <v>405</v>
      </c>
      <c r="B1157" t="s">
        <v>1994</v>
      </c>
      <c r="C1157" t="s">
        <v>4136</v>
      </c>
      <c r="D1157" t="s">
        <v>4137</v>
      </c>
      <c r="E1157" t="s">
        <v>176</v>
      </c>
      <c r="F1157" t="s">
        <v>422</v>
      </c>
      <c r="G1157" t="s">
        <v>12</v>
      </c>
      <c r="H1157">
        <f>38491*(1.01^10)</f>
        <v>42518.010229202679</v>
      </c>
      <c r="I1157">
        <f>191407*(1.01^10)</f>
        <v>211432.40715858247</v>
      </c>
      <c r="J1157" t="s">
        <v>4138</v>
      </c>
      <c r="K1157">
        <f t="shared" si="18"/>
        <v>813.18389920757306</v>
      </c>
    </row>
    <row r="1158" spans="1:11" x14ac:dyDescent="0.2">
      <c r="A1158" t="s">
        <v>405</v>
      </c>
      <c r="B1158" t="s">
        <v>1994</v>
      </c>
      <c r="C1158" t="s">
        <v>4139</v>
      </c>
      <c r="D1158" t="s">
        <v>4140</v>
      </c>
      <c r="E1158" t="s">
        <v>176</v>
      </c>
      <c r="F1158" t="s">
        <v>744</v>
      </c>
      <c r="G1158" t="s">
        <v>24</v>
      </c>
      <c r="H1158">
        <f>32415*(1.01^10)</f>
        <v>35806.326195204201</v>
      </c>
      <c r="I1158">
        <f>167398*(1.01^10)</f>
        <v>184911.53454958485</v>
      </c>
      <c r="J1158" t="s">
        <v>4141</v>
      </c>
      <c r="K1158">
        <f t="shared" si="18"/>
        <v>1039.1219082004218</v>
      </c>
    </row>
    <row r="1159" spans="1:11" x14ac:dyDescent="0.2">
      <c r="A1159" t="s">
        <v>405</v>
      </c>
      <c r="B1159" t="s">
        <v>856</v>
      </c>
      <c r="C1159" t="s">
        <v>4142</v>
      </c>
      <c r="D1159" t="s">
        <v>4143</v>
      </c>
      <c r="E1159" t="s">
        <v>382</v>
      </c>
      <c r="F1159" t="s">
        <v>24</v>
      </c>
      <c r="G1159" t="s">
        <v>24</v>
      </c>
      <c r="H1159">
        <f>15970*(1.01^10)</f>
        <v>17640.815342816939</v>
      </c>
      <c r="I1159">
        <f>82522*(1.01^10)</f>
        <v>91155.627033183438</v>
      </c>
      <c r="J1159" t="s">
        <v>4144</v>
      </c>
      <c r="K1159">
        <f t="shared" si="18"/>
        <v>1681.9205372883725</v>
      </c>
    </row>
    <row r="1160" spans="1:11" x14ac:dyDescent="0.2">
      <c r="A1160" t="s">
        <v>405</v>
      </c>
      <c r="B1160" t="s">
        <v>856</v>
      </c>
      <c r="C1160" t="s">
        <v>4145</v>
      </c>
      <c r="D1160" t="s">
        <v>4146</v>
      </c>
      <c r="E1160" t="s">
        <v>427</v>
      </c>
      <c r="F1160" t="s">
        <v>24</v>
      </c>
      <c r="G1160" t="s">
        <v>12</v>
      </c>
      <c r="H1160">
        <f>27252*(1.01^10)</f>
        <v>30103.16216170615</v>
      </c>
      <c r="I1160">
        <f>134159*(1.01^10)</f>
        <v>148194.99972304181</v>
      </c>
      <c r="J1160" t="s">
        <v>4147</v>
      </c>
      <c r="K1160">
        <f t="shared" si="18"/>
        <v>1101.1179249525003</v>
      </c>
    </row>
    <row r="1161" spans="1:11" x14ac:dyDescent="0.2">
      <c r="A1161" t="s">
        <v>405</v>
      </c>
      <c r="B1161" t="s">
        <v>856</v>
      </c>
      <c r="C1161" t="s">
        <v>4148</v>
      </c>
      <c r="D1161" t="s">
        <v>4149</v>
      </c>
      <c r="E1161" t="s">
        <v>274</v>
      </c>
      <c r="F1161" t="s">
        <v>12</v>
      </c>
      <c r="G1161" t="s">
        <v>24</v>
      </c>
      <c r="H1161">
        <f>17092*(1.01^10)</f>
        <v>18880.201367528312</v>
      </c>
      <c r="I1161">
        <f>91818*(1.01^10)</f>
        <v>101424.19431100599</v>
      </c>
      <c r="J1161" t="s">
        <v>4150</v>
      </c>
      <c r="K1161">
        <f t="shared" si="18"/>
        <v>2523.3475930782497</v>
      </c>
    </row>
    <row r="1162" spans="1:11" x14ac:dyDescent="0.2">
      <c r="A1162" t="s">
        <v>405</v>
      </c>
      <c r="B1162" t="s">
        <v>856</v>
      </c>
      <c r="C1162" t="s">
        <v>4151</v>
      </c>
      <c r="D1162" t="s">
        <v>4152</v>
      </c>
      <c r="E1162" t="s">
        <v>674</v>
      </c>
      <c r="F1162" t="s">
        <v>12</v>
      </c>
      <c r="G1162" t="s">
        <v>12</v>
      </c>
      <c r="H1162">
        <f>49397*(1.01^10)</f>
        <v>54565.019128937281</v>
      </c>
      <c r="I1162">
        <f>245847*(1.01^10)</f>
        <v>271568.03566596843</v>
      </c>
      <c r="J1162" t="s">
        <v>4153</v>
      </c>
      <c r="K1162">
        <f t="shared" si="18"/>
        <v>1852.1960089212544</v>
      </c>
    </row>
    <row r="1163" spans="1:11" x14ac:dyDescent="0.2">
      <c r="A1163" t="s">
        <v>405</v>
      </c>
      <c r="B1163" t="s">
        <v>856</v>
      </c>
      <c r="C1163" t="s">
        <v>4154</v>
      </c>
      <c r="D1163" t="s">
        <v>4155</v>
      </c>
      <c r="E1163" t="s">
        <v>744</v>
      </c>
      <c r="F1163" t="s">
        <v>24</v>
      </c>
      <c r="G1163" t="s">
        <v>24</v>
      </c>
      <c r="H1163">
        <f>22238*(1.01^10)</f>
        <v>24564.58682489437</v>
      </c>
      <c r="I1163">
        <f>106222*(1.01^10)</f>
        <v>117335.17140542899</v>
      </c>
      <c r="J1163" t="s">
        <v>4156</v>
      </c>
      <c r="K1163">
        <f t="shared" si="18"/>
        <v>743.58219348894636</v>
      </c>
    </row>
    <row r="1164" spans="1:11" x14ac:dyDescent="0.2">
      <c r="A1164" t="s">
        <v>405</v>
      </c>
      <c r="B1164" t="s">
        <v>856</v>
      </c>
      <c r="C1164" t="s">
        <v>4157</v>
      </c>
      <c r="D1164" t="s">
        <v>4158</v>
      </c>
      <c r="E1164" t="s">
        <v>837</v>
      </c>
      <c r="F1164" t="s">
        <v>458</v>
      </c>
      <c r="G1164" t="s">
        <v>24</v>
      </c>
      <c r="H1164">
        <f>50860*(1.01^10)</f>
        <v>56181.081298413876</v>
      </c>
      <c r="I1164">
        <f>243629*(1.01^10)</f>
        <v>269117.98379180639</v>
      </c>
      <c r="J1164" t="s">
        <v>4159</v>
      </c>
      <c r="K1164">
        <f t="shared" si="18"/>
        <v>889.3468160545417</v>
      </c>
    </row>
    <row r="1165" spans="1:11" x14ac:dyDescent="0.2">
      <c r="A1165" t="s">
        <v>405</v>
      </c>
      <c r="B1165" t="s">
        <v>856</v>
      </c>
      <c r="C1165" t="s">
        <v>4160</v>
      </c>
      <c r="D1165" t="s">
        <v>4161</v>
      </c>
      <c r="E1165" t="s">
        <v>1506</v>
      </c>
      <c r="F1165" t="s">
        <v>5</v>
      </c>
      <c r="G1165" t="s">
        <v>12</v>
      </c>
      <c r="H1165">
        <f>43717*(1.01^10)</f>
        <v>48290.765456601635</v>
      </c>
      <c r="I1165">
        <f>214322*(1.01^10)</f>
        <v>236744.82316238023</v>
      </c>
      <c r="J1165" t="s">
        <v>4162</v>
      </c>
      <c r="K1165">
        <f t="shared" si="18"/>
        <v>1419.6919045170303</v>
      </c>
    </row>
    <row r="1166" spans="1:11" x14ac:dyDescent="0.2">
      <c r="A1166" t="s">
        <v>405</v>
      </c>
      <c r="B1166" t="s">
        <v>856</v>
      </c>
      <c r="C1166" t="s">
        <v>4163</v>
      </c>
      <c r="D1166" t="s">
        <v>4164</v>
      </c>
      <c r="E1166" t="s">
        <v>180</v>
      </c>
      <c r="F1166" t="s">
        <v>12</v>
      </c>
      <c r="G1166" t="s">
        <v>24</v>
      </c>
      <c r="H1166">
        <f>24272*(1.01^10)</f>
        <v>26811.388227980762</v>
      </c>
      <c r="I1166">
        <f>126020*(1.01^10)</f>
        <v>139204.48024432003</v>
      </c>
      <c r="J1166" t="s">
        <v>4165</v>
      </c>
      <c r="K1166">
        <f t="shared" si="18"/>
        <v>766.03871526238436</v>
      </c>
    </row>
    <row r="1167" spans="1:11" x14ac:dyDescent="0.2">
      <c r="A1167" t="s">
        <v>405</v>
      </c>
      <c r="B1167" t="s">
        <v>856</v>
      </c>
      <c r="C1167" t="s">
        <v>4166</v>
      </c>
      <c r="D1167" t="s">
        <v>4167</v>
      </c>
      <c r="E1167" t="s">
        <v>61</v>
      </c>
      <c r="F1167" t="s">
        <v>24</v>
      </c>
      <c r="G1167" t="s">
        <v>24</v>
      </c>
      <c r="H1167">
        <f>27870*(1.01^10)</f>
        <v>30785.818635210275</v>
      </c>
      <c r="I1167">
        <f>135534*(1.01^10)</f>
        <v>149713.85514548223</v>
      </c>
      <c r="J1167" t="s">
        <v>4168</v>
      </c>
      <c r="K1167">
        <f t="shared" si="18"/>
        <v>1213.057742197115</v>
      </c>
    </row>
    <row r="1168" spans="1:11" x14ac:dyDescent="0.2">
      <c r="A1168" t="s">
        <v>405</v>
      </c>
      <c r="B1168" t="s">
        <v>856</v>
      </c>
      <c r="C1168" t="s">
        <v>4169</v>
      </c>
      <c r="D1168" t="s">
        <v>2597</v>
      </c>
      <c r="E1168" t="s">
        <v>142</v>
      </c>
      <c r="F1168" t="s">
        <v>158</v>
      </c>
      <c r="G1168" t="s">
        <v>24</v>
      </c>
      <c r="H1168">
        <f>37677*(1.01^10)</f>
        <v>41618.84781911796</v>
      </c>
      <c r="I1168">
        <f>189159*(1.01^10)</f>
        <v>208949.21662065809</v>
      </c>
      <c r="J1168" t="s">
        <v>4170</v>
      </c>
      <c r="K1168">
        <f t="shared" si="18"/>
        <v>2150.2196043682543</v>
      </c>
    </row>
    <row r="1169" spans="1:11" x14ac:dyDescent="0.2">
      <c r="A1169" t="s">
        <v>405</v>
      </c>
      <c r="B1169" t="s">
        <v>856</v>
      </c>
      <c r="C1169" t="s">
        <v>4171</v>
      </c>
      <c r="D1169" t="s">
        <v>4172</v>
      </c>
      <c r="E1169" t="s">
        <v>796</v>
      </c>
      <c r="F1169" t="s">
        <v>744</v>
      </c>
      <c r="G1169" t="s">
        <v>24</v>
      </c>
      <c r="H1169">
        <f>20139*(1.01^10)</f>
        <v>22245.984983656253</v>
      </c>
      <c r="I1169">
        <f>104436*(1.01^10)</f>
        <v>115362.31628944458</v>
      </c>
      <c r="J1169" t="s">
        <v>4173</v>
      </c>
      <c r="K1169">
        <f t="shared" si="18"/>
        <v>1202.0750990344445</v>
      </c>
    </row>
    <row r="1170" spans="1:11" x14ac:dyDescent="0.2">
      <c r="A1170" t="s">
        <v>405</v>
      </c>
      <c r="B1170" t="s">
        <v>856</v>
      </c>
      <c r="C1170" t="s">
        <v>4174</v>
      </c>
      <c r="D1170" t="s">
        <v>4175</v>
      </c>
      <c r="E1170" t="s">
        <v>56</v>
      </c>
      <c r="F1170" t="s">
        <v>12</v>
      </c>
      <c r="G1170" t="s">
        <v>24</v>
      </c>
      <c r="H1170">
        <f>36930*(1.01^10)</f>
        <v>40793.695091435795</v>
      </c>
      <c r="I1170">
        <f>175401*(1.01^10)</f>
        <v>193751.82541925073</v>
      </c>
      <c r="J1170" t="s">
        <v>4176</v>
      </c>
      <c r="K1170">
        <f t="shared" si="18"/>
        <v>1042.2010623052336</v>
      </c>
    </row>
    <row r="1171" spans="1:11" x14ac:dyDescent="0.2">
      <c r="A1171" t="s">
        <v>405</v>
      </c>
      <c r="B1171" t="s">
        <v>856</v>
      </c>
      <c r="C1171" t="s">
        <v>4177</v>
      </c>
      <c r="D1171" t="s">
        <v>4178</v>
      </c>
      <c r="E1171" t="s">
        <v>422</v>
      </c>
      <c r="F1171" t="s">
        <v>61</v>
      </c>
      <c r="G1171" t="s">
        <v>24</v>
      </c>
      <c r="H1171">
        <f>27875*(1.01^10)</f>
        <v>30791.341745837333</v>
      </c>
      <c r="I1171">
        <f>152693*(1.01^10)</f>
        <v>168668.06619541309</v>
      </c>
      <c r="J1171" t="s">
        <v>4179</v>
      </c>
      <c r="K1171">
        <f t="shared" si="18"/>
        <v>1669.1068418941311</v>
      </c>
    </row>
    <row r="1172" spans="1:11" x14ac:dyDescent="0.2">
      <c r="A1172" t="s">
        <v>405</v>
      </c>
      <c r="B1172" t="s">
        <v>786</v>
      </c>
      <c r="C1172" t="s">
        <v>4180</v>
      </c>
      <c r="D1172" t="s">
        <v>4181</v>
      </c>
      <c r="E1172" t="s">
        <v>1580</v>
      </c>
      <c r="F1172" t="s">
        <v>12</v>
      </c>
      <c r="G1172" t="s">
        <v>24</v>
      </c>
      <c r="H1172">
        <f>33453*(1.01^10)</f>
        <v>36952.923961381035</v>
      </c>
      <c r="I1172">
        <f>161784*(1.01^10)</f>
        <v>178710.18593752634</v>
      </c>
      <c r="J1172" t="s">
        <v>4182</v>
      </c>
      <c r="K1172">
        <f t="shared" si="18"/>
        <v>983.73792127797515</v>
      </c>
    </row>
    <row r="1173" spans="1:11" x14ac:dyDescent="0.2">
      <c r="A1173" t="s">
        <v>405</v>
      </c>
      <c r="B1173" t="s">
        <v>786</v>
      </c>
      <c r="C1173" t="s">
        <v>4183</v>
      </c>
      <c r="D1173" t="s">
        <v>4184</v>
      </c>
      <c r="E1173" t="s">
        <v>47</v>
      </c>
      <c r="F1173" t="s">
        <v>12</v>
      </c>
      <c r="G1173" t="s">
        <v>24</v>
      </c>
      <c r="H1173">
        <f>28710*(1.01^10)</f>
        <v>31713.701220555689</v>
      </c>
      <c r="I1173">
        <f>151060*(1.01^10)</f>
        <v>166864.21826461659</v>
      </c>
      <c r="J1173" t="s">
        <v>4185</v>
      </c>
      <c r="K1173">
        <f t="shared" si="18"/>
        <v>1041.1654980722451</v>
      </c>
    </row>
    <row r="1174" spans="1:11" x14ac:dyDescent="0.2">
      <c r="A1174" t="s">
        <v>405</v>
      </c>
      <c r="B1174" t="s">
        <v>786</v>
      </c>
      <c r="C1174" t="s">
        <v>4186</v>
      </c>
      <c r="D1174" t="s">
        <v>4187</v>
      </c>
      <c r="E1174" t="s">
        <v>1106</v>
      </c>
      <c r="F1174" t="s">
        <v>152</v>
      </c>
      <c r="G1174" t="s">
        <v>24</v>
      </c>
      <c r="H1174">
        <f>40046*(1.01^10)</f>
        <v>44235.697634217104</v>
      </c>
      <c r="I1174">
        <f>206774*(1.01^10)</f>
        <v>228407.13535977644</v>
      </c>
      <c r="J1174" t="s">
        <v>4188</v>
      </c>
      <c r="K1174">
        <f t="shared" si="18"/>
        <v>1324.2031278503071</v>
      </c>
    </row>
    <row r="1175" spans="1:11" x14ac:dyDescent="0.2">
      <c r="A1175" t="s">
        <v>405</v>
      </c>
      <c r="B1175" t="s">
        <v>786</v>
      </c>
      <c r="C1175" t="s">
        <v>4189</v>
      </c>
      <c r="D1175" t="s">
        <v>4190</v>
      </c>
      <c r="E1175" t="s">
        <v>47</v>
      </c>
      <c r="F1175" t="s">
        <v>158</v>
      </c>
      <c r="G1175" t="s">
        <v>12</v>
      </c>
      <c r="H1175">
        <f>57253*(1.01^10)</f>
        <v>63242.930546167707</v>
      </c>
      <c r="I1175">
        <f>298345*(1.01^10)</f>
        <v>329558.48800580588</v>
      </c>
      <c r="J1175" t="s">
        <v>4191</v>
      </c>
      <c r="K1175">
        <f t="shared" si="18"/>
        <v>2376.7622459471845</v>
      </c>
    </row>
    <row r="1176" spans="1:11" x14ac:dyDescent="0.2">
      <c r="A1176" t="s">
        <v>405</v>
      </c>
      <c r="B1176" t="s">
        <v>786</v>
      </c>
      <c r="C1176" t="s">
        <v>4192</v>
      </c>
      <c r="D1176" t="s">
        <v>4193</v>
      </c>
      <c r="E1176" t="s">
        <v>3122</v>
      </c>
      <c r="F1176" t="s">
        <v>12</v>
      </c>
      <c r="G1176" t="s">
        <v>24</v>
      </c>
      <c r="H1176">
        <f>40272*(1.01^10)</f>
        <v>44485.342234560041</v>
      </c>
      <c r="I1176">
        <f>214166*(1.01^10)</f>
        <v>236572.50211081607</v>
      </c>
      <c r="J1176" t="s">
        <v>4194</v>
      </c>
      <c r="K1176">
        <f t="shared" si="18"/>
        <v>1003.9679817697972</v>
      </c>
    </row>
    <row r="1177" spans="1:11" x14ac:dyDescent="0.2">
      <c r="A1177" t="s">
        <v>405</v>
      </c>
      <c r="B1177" t="s">
        <v>786</v>
      </c>
      <c r="C1177" t="s">
        <v>4195</v>
      </c>
      <c r="D1177" t="s">
        <v>4196</v>
      </c>
      <c r="E1177" t="s">
        <v>274</v>
      </c>
      <c r="F1177" t="s">
        <v>24</v>
      </c>
      <c r="G1177" t="s">
        <v>24</v>
      </c>
      <c r="H1177">
        <f>26842*(1.01^10)</f>
        <v>29650.267090287558</v>
      </c>
      <c r="I1177">
        <f>128322*(1.01^10)</f>
        <v>141747.32037701661</v>
      </c>
      <c r="J1177" t="s">
        <v>4197</v>
      </c>
      <c r="K1177">
        <f t="shared" si="18"/>
        <v>813.0070565297932</v>
      </c>
    </row>
    <row r="1178" spans="1:11" x14ac:dyDescent="0.2">
      <c r="A1178" t="s">
        <v>405</v>
      </c>
      <c r="B1178" t="s">
        <v>786</v>
      </c>
      <c r="C1178" t="s">
        <v>4198</v>
      </c>
      <c r="D1178" t="s">
        <v>3863</v>
      </c>
      <c r="E1178" t="s">
        <v>612</v>
      </c>
      <c r="F1178" t="s">
        <v>24</v>
      </c>
      <c r="G1178" t="s">
        <v>24</v>
      </c>
      <c r="H1178">
        <f>46386*(1.01^10)</f>
        <v>51239.001909324143</v>
      </c>
      <c r="I1178">
        <f>235841*(1.01^10)</f>
        <v>260515.18667910394</v>
      </c>
      <c r="J1178" t="s">
        <v>4199</v>
      </c>
      <c r="K1178">
        <f t="shared" si="18"/>
        <v>1752.7006026314787</v>
      </c>
    </row>
    <row r="1179" spans="1:11" x14ac:dyDescent="0.2">
      <c r="A1179" t="s">
        <v>405</v>
      </c>
      <c r="B1179" t="s">
        <v>786</v>
      </c>
      <c r="C1179" t="s">
        <v>4200</v>
      </c>
      <c r="D1179" t="s">
        <v>4201</v>
      </c>
      <c r="E1179" t="s">
        <v>837</v>
      </c>
      <c r="F1179" t="s">
        <v>17</v>
      </c>
      <c r="G1179" t="s">
        <v>24</v>
      </c>
      <c r="H1179">
        <f>53367*(1.01^10)</f>
        <v>58950.368966819762</v>
      </c>
      <c r="I1179">
        <f>280582*(1.01^10)</f>
        <v>309937.08519212663</v>
      </c>
      <c r="J1179" t="s">
        <v>4202</v>
      </c>
      <c r="K1179">
        <f t="shared" si="18"/>
        <v>1224.1116381103261</v>
      </c>
    </row>
    <row r="1180" spans="1:11" x14ac:dyDescent="0.2">
      <c r="A1180" t="s">
        <v>405</v>
      </c>
      <c r="B1180" t="s">
        <v>786</v>
      </c>
      <c r="C1180" t="s">
        <v>4203</v>
      </c>
      <c r="D1180" t="s">
        <v>4204</v>
      </c>
      <c r="E1180" t="s">
        <v>16</v>
      </c>
      <c r="F1180" t="s">
        <v>5</v>
      </c>
      <c r="G1180" t="s">
        <v>24</v>
      </c>
      <c r="H1180">
        <f>24785*(1.01^10)</f>
        <v>27378.05937831671</v>
      </c>
      <c r="I1180">
        <f>132844*(1.01^10)</f>
        <v>146742.42162812609</v>
      </c>
      <c r="J1180" t="s">
        <v>4205</v>
      </c>
      <c r="K1180">
        <f t="shared" si="18"/>
        <v>934.32838677106781</v>
      </c>
    </row>
    <row r="1181" spans="1:11" x14ac:dyDescent="0.2">
      <c r="A1181" t="s">
        <v>405</v>
      </c>
      <c r="B1181" t="s">
        <v>786</v>
      </c>
      <c r="C1181" t="s">
        <v>4206</v>
      </c>
      <c r="D1181" t="s">
        <v>4207</v>
      </c>
      <c r="E1181" t="s">
        <v>445</v>
      </c>
      <c r="F1181" t="s">
        <v>24</v>
      </c>
      <c r="G1181" t="s">
        <v>24</v>
      </c>
      <c r="H1181">
        <f>17865*(1.01^10)</f>
        <v>19734.074270471174</v>
      </c>
      <c r="I1181">
        <f>90943*(1.01^10)</f>
        <v>100457.64995127119</v>
      </c>
      <c r="J1181" t="s">
        <v>4208</v>
      </c>
      <c r="K1181">
        <f t="shared" si="18"/>
        <v>1544.4200705746875</v>
      </c>
    </row>
    <row r="1182" spans="1:11" x14ac:dyDescent="0.2">
      <c r="A1182" t="s">
        <v>405</v>
      </c>
      <c r="B1182" t="s">
        <v>1974</v>
      </c>
      <c r="C1182" t="s">
        <v>4209</v>
      </c>
      <c r="D1182" t="s">
        <v>4210</v>
      </c>
      <c r="E1182" t="s">
        <v>837</v>
      </c>
      <c r="F1182" t="s">
        <v>17</v>
      </c>
      <c r="G1182" t="s">
        <v>24</v>
      </c>
      <c r="H1182">
        <f>53888*(1.01^10)</f>
        <v>59525.877094159005</v>
      </c>
      <c r="I1182">
        <f>264248*(1.01^10)</f>
        <v>291894.18739566003</v>
      </c>
      <c r="J1182" t="s">
        <v>4211</v>
      </c>
      <c r="K1182">
        <f t="shared" si="18"/>
        <v>1673.3032407595099</v>
      </c>
    </row>
    <row r="1183" spans="1:11" x14ac:dyDescent="0.2">
      <c r="A1183" t="s">
        <v>405</v>
      </c>
      <c r="B1183" t="s">
        <v>1974</v>
      </c>
      <c r="C1183" t="s">
        <v>4212</v>
      </c>
      <c r="D1183" t="s">
        <v>4213</v>
      </c>
      <c r="E1183" t="s">
        <v>324</v>
      </c>
      <c r="F1183" t="s">
        <v>458</v>
      </c>
      <c r="G1183" t="s">
        <v>24</v>
      </c>
      <c r="H1183">
        <f>54126*(1.01^10)</f>
        <v>59788.777160006866</v>
      </c>
      <c r="I1183">
        <f>267601*(1.01^10)</f>
        <v>295597.98538216378</v>
      </c>
      <c r="J1183" t="s">
        <v>4214</v>
      </c>
      <c r="K1183">
        <f t="shared" si="18"/>
        <v>1869.1786945543226</v>
      </c>
    </row>
    <row r="1184" spans="1:11" x14ac:dyDescent="0.2">
      <c r="A1184" t="s">
        <v>405</v>
      </c>
      <c r="B1184" t="s">
        <v>1974</v>
      </c>
      <c r="C1184" t="s">
        <v>4215</v>
      </c>
      <c r="D1184" t="s">
        <v>4216</v>
      </c>
      <c r="E1184" t="s">
        <v>32</v>
      </c>
      <c r="F1184" t="s">
        <v>318</v>
      </c>
      <c r="G1184" t="s">
        <v>24</v>
      </c>
      <c r="H1184">
        <f>57428*(1.01^10)</f>
        <v>63436.239418114666</v>
      </c>
      <c r="I1184">
        <f>270722*(1.01^10)</f>
        <v>299045.51103557216</v>
      </c>
      <c r="J1184" t="s">
        <v>4217</v>
      </c>
      <c r="K1184">
        <f t="shared" si="18"/>
        <v>2226.9218175568012</v>
      </c>
    </row>
    <row r="1185" spans="1:11" x14ac:dyDescent="0.2">
      <c r="A1185" t="s">
        <v>405</v>
      </c>
      <c r="B1185" t="s">
        <v>1974</v>
      </c>
      <c r="C1185" t="s">
        <v>4218</v>
      </c>
      <c r="D1185" t="s">
        <v>4219</v>
      </c>
      <c r="E1185" t="s">
        <v>1549</v>
      </c>
      <c r="F1185" t="s">
        <v>1656</v>
      </c>
      <c r="G1185" t="s">
        <v>17</v>
      </c>
      <c r="H1185">
        <f>112980*(1.01^10)</f>
        <v>124800.20772895792</v>
      </c>
      <c r="I1185">
        <f>577036*(1.01^10)</f>
        <v>637406.73275877989</v>
      </c>
      <c r="J1185" t="s">
        <v>4220</v>
      </c>
      <c r="K1185">
        <f t="shared" si="18"/>
        <v>3249.0957353083359</v>
      </c>
    </row>
    <row r="1186" spans="1:11" x14ac:dyDescent="0.2">
      <c r="A1186" t="s">
        <v>405</v>
      </c>
      <c r="B1186" t="s">
        <v>1974</v>
      </c>
      <c r="C1186" t="s">
        <v>4221</v>
      </c>
      <c r="D1186" t="s">
        <v>4222</v>
      </c>
      <c r="E1186" t="s">
        <v>176</v>
      </c>
      <c r="F1186" t="s">
        <v>92</v>
      </c>
      <c r="G1186" t="s">
        <v>24</v>
      </c>
      <c r="H1186">
        <f>47088*(1.01^10)</f>
        <v>52014.446641362811</v>
      </c>
      <c r="I1186">
        <f>228618*(1.01^10)</f>
        <v>252536.5010672588</v>
      </c>
      <c r="J1186" t="s">
        <v>4223</v>
      </c>
      <c r="K1186">
        <f t="shared" si="18"/>
        <v>2065.0305869078393</v>
      </c>
    </row>
    <row r="1187" spans="1:11" x14ac:dyDescent="0.2">
      <c r="A1187" t="s">
        <v>405</v>
      </c>
      <c r="B1187" t="s">
        <v>1974</v>
      </c>
      <c r="C1187" t="s">
        <v>4224</v>
      </c>
      <c r="D1187" t="s">
        <v>4225</v>
      </c>
      <c r="E1187" t="s">
        <v>142</v>
      </c>
      <c r="F1187" t="s">
        <v>6</v>
      </c>
      <c r="G1187" t="s">
        <v>24</v>
      </c>
      <c r="H1187">
        <f>27689*(1.01^10)</f>
        <v>30585.882030510849</v>
      </c>
      <c r="I1187">
        <f>123299*(1.01^10)</f>
        <v>136198.80344107613</v>
      </c>
      <c r="J1187" t="s">
        <v>4226</v>
      </c>
      <c r="K1187">
        <f t="shared" si="18"/>
        <v>1735.9728726089502</v>
      </c>
    </row>
    <row r="1188" spans="1:11" x14ac:dyDescent="0.2">
      <c r="A1188" t="s">
        <v>405</v>
      </c>
      <c r="B1188" t="s">
        <v>1974</v>
      </c>
      <c r="C1188" t="s">
        <v>4227</v>
      </c>
      <c r="D1188" t="s">
        <v>4228</v>
      </c>
      <c r="E1188" t="s">
        <v>16</v>
      </c>
      <c r="F1188" t="s">
        <v>92</v>
      </c>
      <c r="G1188" t="s">
        <v>24</v>
      </c>
      <c r="H1188">
        <f>28484*(1.01^10)</f>
        <v>31464.056620212756</v>
      </c>
      <c r="I1188">
        <f>143797*(1.01^10)</f>
        <v>158841.34776775501</v>
      </c>
      <c r="J1188" t="s">
        <v>4229</v>
      </c>
      <c r="K1188">
        <f t="shared" si="18"/>
        <v>1904.2639339807531</v>
      </c>
    </row>
    <row r="1189" spans="1:11" x14ac:dyDescent="0.2">
      <c r="A1189" t="s">
        <v>405</v>
      </c>
      <c r="B1189" t="s">
        <v>1974</v>
      </c>
      <c r="C1189" t="s">
        <v>4231</v>
      </c>
      <c r="D1189" t="s">
        <v>4232</v>
      </c>
      <c r="E1189" t="s">
        <v>16</v>
      </c>
      <c r="F1189" t="s">
        <v>92</v>
      </c>
      <c r="G1189" t="s">
        <v>12</v>
      </c>
      <c r="H1189">
        <f>50421*(1.01^10)</f>
        <v>55696.152185358354</v>
      </c>
      <c r="I1189">
        <f>250357*(1.01^10)</f>
        <v>276549.88145157299</v>
      </c>
      <c r="J1189" t="s">
        <v>4233</v>
      </c>
      <c r="K1189">
        <f t="shared" si="18"/>
        <v>1804.5350746536308</v>
      </c>
    </row>
    <row r="1190" spans="1:11" x14ac:dyDescent="0.2">
      <c r="A1190" t="s">
        <v>405</v>
      </c>
      <c r="B1190" t="s">
        <v>1974</v>
      </c>
      <c r="C1190" t="s">
        <v>4234</v>
      </c>
      <c r="D1190" t="s">
        <v>4235</v>
      </c>
      <c r="E1190" t="s">
        <v>282</v>
      </c>
      <c r="F1190" t="s">
        <v>789</v>
      </c>
      <c r="G1190" t="s">
        <v>12</v>
      </c>
      <c r="H1190">
        <f>51782*(1.01^10)</f>
        <v>57199.542898043001</v>
      </c>
      <c r="I1190">
        <f>261805*(1.01^10)</f>
        <v>289195.59554328048</v>
      </c>
      <c r="J1190" t="s">
        <v>4236</v>
      </c>
      <c r="K1190">
        <f t="shared" si="18"/>
        <v>1867.2268586701969</v>
      </c>
    </row>
    <row r="1191" spans="1:11" x14ac:dyDescent="0.2">
      <c r="A1191" t="s">
        <v>405</v>
      </c>
      <c r="B1191" t="s">
        <v>1974</v>
      </c>
      <c r="C1191" t="s">
        <v>4237</v>
      </c>
      <c r="D1191" t="s">
        <v>4238</v>
      </c>
      <c r="E1191" t="s">
        <v>137</v>
      </c>
      <c r="F1191" t="s">
        <v>422</v>
      </c>
      <c r="G1191" t="s">
        <v>24</v>
      </c>
      <c r="H1191">
        <f>33466*(1.01^10)</f>
        <v>36967.284049011381</v>
      </c>
      <c r="I1191">
        <f>154631*(1.01^10)</f>
        <v>170808.82387446001</v>
      </c>
      <c r="J1191" t="s">
        <v>4239</v>
      </c>
      <c r="K1191">
        <f t="shared" si="18"/>
        <v>1434.2281603916044</v>
      </c>
    </row>
    <row r="1192" spans="1:11" x14ac:dyDescent="0.2">
      <c r="A1192" t="s">
        <v>405</v>
      </c>
      <c r="B1192" t="s">
        <v>1974</v>
      </c>
      <c r="C1192" t="s">
        <v>4240</v>
      </c>
      <c r="D1192" t="s">
        <v>4241</v>
      </c>
      <c r="E1192" t="s">
        <v>131</v>
      </c>
      <c r="F1192" t="s">
        <v>92</v>
      </c>
      <c r="G1192" t="s">
        <v>24</v>
      </c>
      <c r="H1192">
        <f>30619*(1.01^10)</f>
        <v>33822.424857965678</v>
      </c>
      <c r="I1192">
        <f>148081*(1.01^10)</f>
        <v>163573.54895301661</v>
      </c>
      <c r="J1192" t="s">
        <v>4242</v>
      </c>
      <c r="K1192">
        <f t="shared" si="18"/>
        <v>2229.2201405841392</v>
      </c>
    </row>
    <row r="1193" spans="1:11" x14ac:dyDescent="0.2">
      <c r="A1193" t="s">
        <v>405</v>
      </c>
      <c r="B1193" t="s">
        <v>1974</v>
      </c>
      <c r="C1193" t="s">
        <v>4243</v>
      </c>
      <c r="D1193" t="s">
        <v>2951</v>
      </c>
      <c r="E1193" t="s">
        <v>777</v>
      </c>
      <c r="F1193" t="s">
        <v>152</v>
      </c>
      <c r="G1193" t="s">
        <v>24</v>
      </c>
      <c r="H1193">
        <f>61422*(1.01^10)</f>
        <v>67848.100187007018</v>
      </c>
      <c r="I1193">
        <f>302645*(1.01^10)</f>
        <v>334308.36314507405</v>
      </c>
      <c r="J1193" t="s">
        <v>4244</v>
      </c>
      <c r="K1193">
        <f t="shared" si="18"/>
        <v>1724.8850255867803</v>
      </c>
    </row>
    <row r="1194" spans="1:11" x14ac:dyDescent="0.2">
      <c r="A1194" t="s">
        <v>405</v>
      </c>
      <c r="B1194" t="s">
        <v>1974</v>
      </c>
      <c r="C1194" t="s">
        <v>4245</v>
      </c>
      <c r="D1194" t="s">
        <v>4246</v>
      </c>
      <c r="E1194" t="s">
        <v>425</v>
      </c>
      <c r="F1194" t="s">
        <v>152</v>
      </c>
      <c r="G1194" t="s">
        <v>24</v>
      </c>
      <c r="H1194">
        <f>56704*(1.01^10)</f>
        <v>62636.492999316957</v>
      </c>
      <c r="I1194">
        <f>286113*(1.01^10)</f>
        <v>316046.75016777602</v>
      </c>
      <c r="J1194" t="s">
        <v>4247</v>
      </c>
      <c r="K1194">
        <f t="shared" si="18"/>
        <v>1748.882744255412</v>
      </c>
    </row>
    <row r="1195" spans="1:11" x14ac:dyDescent="0.2">
      <c r="A1195" t="s">
        <v>405</v>
      </c>
      <c r="B1195" t="s">
        <v>1974</v>
      </c>
      <c r="C1195" t="s">
        <v>4248</v>
      </c>
      <c r="D1195" t="s">
        <v>4249</v>
      </c>
      <c r="E1195" t="s">
        <v>313</v>
      </c>
      <c r="F1195" t="s">
        <v>17</v>
      </c>
      <c r="G1195" t="s">
        <v>24</v>
      </c>
      <c r="H1195">
        <f>29536*(1.01^10)</f>
        <v>32626.119096145343</v>
      </c>
      <c r="I1195">
        <f>133210*(1.01^10)</f>
        <v>147146.7133260266</v>
      </c>
      <c r="J1195" t="s">
        <v>4250</v>
      </c>
      <c r="K1195">
        <f t="shared" si="18"/>
        <v>1608.3032942151201</v>
      </c>
    </row>
    <row r="1196" spans="1:11" x14ac:dyDescent="0.2">
      <c r="A1196" t="s">
        <v>405</v>
      </c>
      <c r="B1196" t="s">
        <v>1974</v>
      </c>
      <c r="C1196" t="s">
        <v>4251</v>
      </c>
      <c r="D1196" t="s">
        <v>4252</v>
      </c>
      <c r="E1196" t="s">
        <v>411</v>
      </c>
      <c r="F1196" t="s">
        <v>24</v>
      </c>
      <c r="G1196" t="s">
        <v>24</v>
      </c>
      <c r="H1196">
        <f>16612*(1.01^10)</f>
        <v>18349.982747330934</v>
      </c>
      <c r="I1196">
        <f>81423*(1.01^10)</f>
        <v>89941.647317356517</v>
      </c>
      <c r="J1196" t="s">
        <v>4253</v>
      </c>
      <c r="K1196">
        <f t="shared" si="18"/>
        <v>1704.8801972053002</v>
      </c>
    </row>
    <row r="1197" spans="1:11" x14ac:dyDescent="0.2">
      <c r="A1197" t="s">
        <v>405</v>
      </c>
      <c r="B1197" t="s">
        <v>1974</v>
      </c>
      <c r="C1197" t="s">
        <v>4255</v>
      </c>
      <c r="D1197" t="s">
        <v>4256</v>
      </c>
      <c r="E1197" t="s">
        <v>333</v>
      </c>
      <c r="F1197" t="s">
        <v>158</v>
      </c>
      <c r="G1197" t="s">
        <v>24</v>
      </c>
      <c r="H1197">
        <f>30935*(1.01^10)</f>
        <v>34171.485449595617</v>
      </c>
      <c r="I1197">
        <f>152112*(1.01^10)</f>
        <v>168026.28074054918</v>
      </c>
      <c r="J1197" t="s">
        <v>4257</v>
      </c>
      <c r="K1197">
        <f t="shared" si="18"/>
        <v>1607.927761732815</v>
      </c>
    </row>
    <row r="1198" spans="1:11" x14ac:dyDescent="0.2">
      <c r="A1198" t="s">
        <v>405</v>
      </c>
      <c r="B1198" t="s">
        <v>1974</v>
      </c>
      <c r="C1198" t="s">
        <v>4258</v>
      </c>
      <c r="D1198" t="s">
        <v>4259</v>
      </c>
      <c r="E1198" t="s">
        <v>1362</v>
      </c>
      <c r="F1198" t="s">
        <v>17</v>
      </c>
      <c r="G1198" t="s">
        <v>24</v>
      </c>
      <c r="H1198">
        <f>34375*(1.01^10)</f>
        <v>37971.38556101016</v>
      </c>
      <c r="I1198">
        <f>162870*(1.01^10)</f>
        <v>179909.80556572293</v>
      </c>
      <c r="J1198" t="s">
        <v>4260</v>
      </c>
      <c r="K1198">
        <f t="shared" si="18"/>
        <v>1722.1148409744101</v>
      </c>
    </row>
    <row r="1199" spans="1:11" x14ac:dyDescent="0.2">
      <c r="A1199" t="s">
        <v>405</v>
      </c>
      <c r="B1199" t="s">
        <v>1974</v>
      </c>
      <c r="C1199" t="s">
        <v>4261</v>
      </c>
      <c r="D1199" t="s">
        <v>4262</v>
      </c>
      <c r="E1199" t="s">
        <v>1506</v>
      </c>
      <c r="F1199" t="s">
        <v>12</v>
      </c>
      <c r="G1199" t="s">
        <v>24</v>
      </c>
      <c r="H1199">
        <f>25457*(1.01^10)</f>
        <v>28120.365446593038</v>
      </c>
      <c r="I1199">
        <f>128817*(1.01^10)</f>
        <v>142294.10832909515</v>
      </c>
      <c r="J1199" t="s">
        <v>4263</v>
      </c>
      <c r="K1199">
        <f t="shared" si="18"/>
        <v>1375.8821730743932</v>
      </c>
    </row>
    <row r="1200" spans="1:11" x14ac:dyDescent="0.2">
      <c r="A1200" t="s">
        <v>405</v>
      </c>
      <c r="B1200" t="s">
        <v>493</v>
      </c>
      <c r="C1200" t="s">
        <v>4264</v>
      </c>
      <c r="D1200" t="s">
        <v>4265</v>
      </c>
      <c r="E1200" t="s">
        <v>560</v>
      </c>
      <c r="F1200" t="s">
        <v>92</v>
      </c>
      <c r="G1200" t="s">
        <v>12</v>
      </c>
      <c r="H1200">
        <f>45212*(1.01^10)</f>
        <v>49942.175534091388</v>
      </c>
      <c r="I1200">
        <f>241438*(1.01^10)</f>
        <v>266697.75671503047</v>
      </c>
      <c r="J1200" t="s">
        <v>4266</v>
      </c>
      <c r="K1200">
        <f t="shared" si="18"/>
        <v>1344.6174587519122</v>
      </c>
    </row>
    <row r="1201" spans="1:11" x14ac:dyDescent="0.2">
      <c r="A1201" t="s">
        <v>405</v>
      </c>
      <c r="B1201" t="s">
        <v>493</v>
      </c>
      <c r="C1201" t="s">
        <v>4267</v>
      </c>
      <c r="D1201" t="s">
        <v>4268</v>
      </c>
      <c r="E1201" t="s">
        <v>761</v>
      </c>
      <c r="F1201" t="s">
        <v>24</v>
      </c>
      <c r="G1201" t="s">
        <v>12</v>
      </c>
      <c r="H1201">
        <f>79596*(1.01^10)</f>
        <v>87923.50269423025</v>
      </c>
      <c r="I1201">
        <f>406795*(1.01^10)</f>
        <v>449354.75750665105</v>
      </c>
      <c r="J1201" t="s">
        <v>4269</v>
      </c>
      <c r="K1201">
        <f t="shared" si="18"/>
        <v>1431.1645220698952</v>
      </c>
    </row>
    <row r="1202" spans="1:11" x14ac:dyDescent="0.2">
      <c r="A1202" t="s">
        <v>405</v>
      </c>
      <c r="B1202" t="s">
        <v>493</v>
      </c>
      <c r="C1202" t="s">
        <v>4270</v>
      </c>
      <c r="D1202" t="s">
        <v>4271</v>
      </c>
      <c r="E1202" t="s">
        <v>1233</v>
      </c>
      <c r="F1202" t="s">
        <v>796</v>
      </c>
      <c r="G1202" t="s">
        <v>24</v>
      </c>
      <c r="H1202">
        <f>61763*(1.01^10)</f>
        <v>68224.776331772242</v>
      </c>
      <c r="I1202">
        <f>361662*(1.01^10)</f>
        <v>399499.84712046711</v>
      </c>
      <c r="J1202" t="s">
        <v>4272</v>
      </c>
      <c r="K1202">
        <f t="shared" si="18"/>
        <v>1235.9411813023059</v>
      </c>
    </row>
    <row r="1203" spans="1:11" x14ac:dyDescent="0.2">
      <c r="A1203" t="s">
        <v>405</v>
      </c>
      <c r="B1203" t="s">
        <v>493</v>
      </c>
      <c r="C1203" t="s">
        <v>4274</v>
      </c>
      <c r="D1203" t="s">
        <v>4275</v>
      </c>
      <c r="E1203" t="s">
        <v>2949</v>
      </c>
      <c r="F1203" t="s">
        <v>5</v>
      </c>
      <c r="G1203" t="s">
        <v>24</v>
      </c>
      <c r="H1203">
        <f>61348*(1.01^10)</f>
        <v>67766.358149726584</v>
      </c>
      <c r="I1203">
        <f>331651*(1.01^10)</f>
        <v>366349.03251475148</v>
      </c>
      <c r="J1203" t="s">
        <v>4276</v>
      </c>
      <c r="K1203">
        <f t="shared" si="18"/>
        <v>1473.0373166941949</v>
      </c>
    </row>
    <row r="1204" spans="1:11" x14ac:dyDescent="0.2">
      <c r="A1204" t="s">
        <v>405</v>
      </c>
      <c r="B1204" t="s">
        <v>493</v>
      </c>
      <c r="C1204" t="s">
        <v>4278</v>
      </c>
      <c r="D1204" t="s">
        <v>4279</v>
      </c>
      <c r="E1204" t="s">
        <v>425</v>
      </c>
      <c r="F1204" t="s">
        <v>24</v>
      </c>
      <c r="G1204" t="s">
        <v>24</v>
      </c>
      <c r="H1204">
        <f>30199*(1.01^10)</f>
        <v>33358.483565292969</v>
      </c>
      <c r="I1204">
        <f>164858*(1.01^10)</f>
        <v>182105.79435104039</v>
      </c>
      <c r="J1204" t="s">
        <v>4280</v>
      </c>
      <c r="K1204">
        <f t="shared" si="18"/>
        <v>1662.4829885827355</v>
      </c>
    </row>
    <row r="1205" spans="1:11" x14ac:dyDescent="0.2">
      <c r="A1205" t="s">
        <v>405</v>
      </c>
      <c r="B1205" t="s">
        <v>493</v>
      </c>
      <c r="C1205" t="s">
        <v>4281</v>
      </c>
      <c r="D1205" t="s">
        <v>4282</v>
      </c>
      <c r="E1205" t="s">
        <v>1002</v>
      </c>
      <c r="F1205" t="s">
        <v>5</v>
      </c>
      <c r="G1205" t="s">
        <v>17</v>
      </c>
      <c r="H1205">
        <f>53860*(1.01^10)</f>
        <v>59494.94767464749</v>
      </c>
      <c r="I1205">
        <f>272858*(1.01^10)</f>
        <v>301404.98389545048</v>
      </c>
      <c r="J1205" t="s">
        <v>4283</v>
      </c>
      <c r="K1205">
        <f t="shared" si="18"/>
        <v>1700.9513119551568</v>
      </c>
    </row>
    <row r="1206" spans="1:11" x14ac:dyDescent="0.2">
      <c r="A1206" t="s">
        <v>405</v>
      </c>
      <c r="B1206" t="s">
        <v>493</v>
      </c>
      <c r="C1206" t="s">
        <v>4284</v>
      </c>
      <c r="D1206" t="s">
        <v>4285</v>
      </c>
      <c r="E1206" t="s">
        <v>453</v>
      </c>
      <c r="F1206" t="s">
        <v>17</v>
      </c>
      <c r="G1206" t="s">
        <v>24</v>
      </c>
      <c r="H1206">
        <f>71364*(1.01^10)</f>
        <v>78830.253357845213</v>
      </c>
      <c r="I1206">
        <f>340925*(1.01^10)</f>
        <v>376593.29810581496</v>
      </c>
      <c r="J1206" t="s">
        <v>4286</v>
      </c>
      <c r="K1206">
        <f t="shared" si="18"/>
        <v>1586.0886002562215</v>
      </c>
    </row>
    <row r="1207" spans="1:11" x14ac:dyDescent="0.2">
      <c r="A1207" t="s">
        <v>405</v>
      </c>
      <c r="B1207" t="s">
        <v>493</v>
      </c>
      <c r="C1207" t="s">
        <v>4287</v>
      </c>
      <c r="D1207" t="s">
        <v>4288</v>
      </c>
      <c r="E1207" t="s">
        <v>1010</v>
      </c>
      <c r="F1207" t="s">
        <v>744</v>
      </c>
      <c r="G1207" t="s">
        <v>24</v>
      </c>
      <c r="H1207">
        <f>51328*(1.01^10)</f>
        <v>56698.044453106319</v>
      </c>
      <c r="I1207">
        <f>245659*(1.01^10)</f>
        <v>271360.36670639116</v>
      </c>
      <c r="J1207" t="s">
        <v>4289</v>
      </c>
      <c r="K1207">
        <f t="shared" si="18"/>
        <v>1501.0151984835693</v>
      </c>
    </row>
    <row r="1208" spans="1:11" x14ac:dyDescent="0.2">
      <c r="A1208" t="s">
        <v>405</v>
      </c>
      <c r="B1208" t="s">
        <v>493</v>
      </c>
      <c r="C1208" t="s">
        <v>4291</v>
      </c>
      <c r="D1208" t="s">
        <v>3655</v>
      </c>
      <c r="E1208" t="s">
        <v>1617</v>
      </c>
      <c r="F1208" t="s">
        <v>744</v>
      </c>
      <c r="G1208" t="s">
        <v>24</v>
      </c>
      <c r="H1208">
        <f>62286*(1.01^10)</f>
        <v>68802.493703362299</v>
      </c>
      <c r="I1208">
        <f>290545*(1.01^10)</f>
        <v>320942.43542759848</v>
      </c>
      <c r="J1208" t="s">
        <v>4292</v>
      </c>
      <c r="K1208">
        <f t="shared" si="18"/>
        <v>1613.8870283360532</v>
      </c>
    </row>
    <row r="1209" spans="1:11" x14ac:dyDescent="0.2">
      <c r="A1209" t="s">
        <v>405</v>
      </c>
      <c r="B1209" t="s">
        <v>493</v>
      </c>
      <c r="C1209" t="s">
        <v>4293</v>
      </c>
      <c r="D1209" t="s">
        <v>4294</v>
      </c>
      <c r="E1209" t="s">
        <v>1054</v>
      </c>
      <c r="F1209" t="s">
        <v>5</v>
      </c>
      <c r="G1209" t="s">
        <v>24</v>
      </c>
      <c r="H1209">
        <f>50467*(1.01^10)</f>
        <v>55746.964803127266</v>
      </c>
      <c r="I1209">
        <f>244823*(1.01^10)</f>
        <v>270436.90260954737</v>
      </c>
      <c r="J1209" t="s">
        <v>4295</v>
      </c>
      <c r="K1209">
        <f t="shared" si="18"/>
        <v>1541.8806112179898</v>
      </c>
    </row>
    <row r="1210" spans="1:11" x14ac:dyDescent="0.2">
      <c r="A1210" t="s">
        <v>405</v>
      </c>
      <c r="B1210" t="s">
        <v>493</v>
      </c>
      <c r="C1210" t="s">
        <v>4296</v>
      </c>
      <c r="D1210" t="s">
        <v>4297</v>
      </c>
      <c r="E1210" t="s">
        <v>1195</v>
      </c>
      <c r="F1210" t="s">
        <v>11</v>
      </c>
      <c r="G1210" t="s">
        <v>24</v>
      </c>
      <c r="H1210">
        <f>55141*(1.01^10)</f>
        <v>60909.968617299244</v>
      </c>
      <c r="I1210">
        <f>259719*(1.01^10)</f>
        <v>286891.35378967266</v>
      </c>
      <c r="J1210" t="s">
        <v>4298</v>
      </c>
      <c r="K1210">
        <f t="shared" si="18"/>
        <v>1337.7135097259786</v>
      </c>
    </row>
    <row r="1211" spans="1:11" x14ac:dyDescent="0.2">
      <c r="A1211" t="s">
        <v>405</v>
      </c>
      <c r="B1211" t="s">
        <v>493</v>
      </c>
      <c r="C1211" t="s">
        <v>4299</v>
      </c>
      <c r="D1211" t="s">
        <v>4300</v>
      </c>
      <c r="E1211" t="s">
        <v>176</v>
      </c>
      <c r="F1211" t="s">
        <v>12</v>
      </c>
      <c r="G1211" t="s">
        <v>24</v>
      </c>
      <c r="H1211">
        <f>27690*(1.01^10)</f>
        <v>30586.98665263626</v>
      </c>
      <c r="I1211">
        <f>124057*(1.01^10)</f>
        <v>137036.10701213783</v>
      </c>
      <c r="J1211" t="s">
        <v>4301</v>
      </c>
      <c r="K1211">
        <f t="shared" si="18"/>
        <v>1258.4156439763703</v>
      </c>
    </row>
    <row r="1212" spans="1:11" x14ac:dyDescent="0.2">
      <c r="A1212" t="s">
        <v>405</v>
      </c>
      <c r="B1212" t="s">
        <v>493</v>
      </c>
      <c r="C1212" t="s">
        <v>4302</v>
      </c>
      <c r="D1212" t="s">
        <v>4303</v>
      </c>
      <c r="E1212" t="s">
        <v>72</v>
      </c>
      <c r="F1212" t="s">
        <v>12</v>
      </c>
      <c r="G1212" t="s">
        <v>24</v>
      </c>
      <c r="H1212">
        <f>18830*(1.01^10)</f>
        <v>20800.034621492985</v>
      </c>
      <c r="I1212">
        <f>90490*(1.01^10)</f>
        <v>99957.256128459921</v>
      </c>
      <c r="J1212" t="s">
        <v>4304</v>
      </c>
      <c r="K1212">
        <f t="shared" si="18"/>
        <v>1581.8107421866232</v>
      </c>
    </row>
    <row r="1213" spans="1:11" x14ac:dyDescent="0.2">
      <c r="A1213" t="s">
        <v>405</v>
      </c>
      <c r="B1213" t="s">
        <v>493</v>
      </c>
      <c r="C1213" t="s">
        <v>4305</v>
      </c>
      <c r="D1213" t="s">
        <v>4306</v>
      </c>
      <c r="E1213" t="s">
        <v>1328</v>
      </c>
      <c r="F1213" t="s">
        <v>17</v>
      </c>
      <c r="G1213" t="s">
        <v>92</v>
      </c>
      <c r="H1213">
        <f>131025*(1.01^10)</f>
        <v>144733.11398200309</v>
      </c>
      <c r="I1213">
        <f>683073*(1.01^10)</f>
        <v>754537.54907100787</v>
      </c>
      <c r="J1213" t="s">
        <v>4307</v>
      </c>
      <c r="K1213">
        <f t="shared" si="18"/>
        <v>4103.3340696638179</v>
      </c>
    </row>
    <row r="1214" spans="1:11" x14ac:dyDescent="0.2">
      <c r="A1214" t="s">
        <v>405</v>
      </c>
      <c r="B1214" t="s">
        <v>493</v>
      </c>
      <c r="C1214" t="s">
        <v>4308</v>
      </c>
      <c r="D1214" t="s">
        <v>4309</v>
      </c>
      <c r="E1214" t="s">
        <v>2873</v>
      </c>
      <c r="F1214" t="s">
        <v>12</v>
      </c>
      <c r="G1214" t="s">
        <v>24</v>
      </c>
      <c r="H1214">
        <f>82071*(1.01^10)</f>
        <v>90657.442454622986</v>
      </c>
      <c r="I1214">
        <f>435676*(1.01^10)</f>
        <v>481257.34911065205</v>
      </c>
      <c r="J1214" t="s">
        <v>4310</v>
      </c>
      <c r="K1214">
        <f t="shared" si="18"/>
        <v>1845.7494026538943</v>
      </c>
    </row>
    <row r="1215" spans="1:11" x14ac:dyDescent="0.2">
      <c r="A1215" t="s">
        <v>405</v>
      </c>
      <c r="B1215" t="s">
        <v>493</v>
      </c>
      <c r="C1215" t="s">
        <v>4311</v>
      </c>
      <c r="D1215" t="s">
        <v>4312</v>
      </c>
      <c r="E1215" t="s">
        <v>560</v>
      </c>
      <c r="F1215" t="s">
        <v>24</v>
      </c>
      <c r="G1215" t="s">
        <v>24</v>
      </c>
      <c r="H1215">
        <f>63523*(1.01^10)</f>
        <v>70168.911272495956</v>
      </c>
      <c r="I1215">
        <f>306833*(1.01^10)</f>
        <v>338934.5206062962</v>
      </c>
      <c r="J1215" t="s">
        <v>4313</v>
      </c>
      <c r="K1215">
        <f t="shared" si="18"/>
        <v>1911.0688369019686</v>
      </c>
    </row>
    <row r="1216" spans="1:11" x14ac:dyDescent="0.2">
      <c r="A1216" t="s">
        <v>405</v>
      </c>
      <c r="B1216" t="s">
        <v>725</v>
      </c>
      <c r="C1216" t="s">
        <v>4314</v>
      </c>
      <c r="D1216" t="s">
        <v>4315</v>
      </c>
      <c r="E1216" t="s">
        <v>368</v>
      </c>
      <c r="F1216" t="s">
        <v>274</v>
      </c>
      <c r="G1216" t="s">
        <v>12</v>
      </c>
      <c r="H1216">
        <f>21313*(1.01^10)</f>
        <v>23542.811358889008</v>
      </c>
      <c r="I1216">
        <f>130830*(1.01^10)</f>
        <v>144517.71266754792</v>
      </c>
      <c r="J1216" t="s">
        <v>4316</v>
      </c>
      <c r="K1216">
        <f t="shared" si="18"/>
        <v>995.40819078210882</v>
      </c>
    </row>
    <row r="1217" spans="1:11" x14ac:dyDescent="0.2">
      <c r="A1217" t="s">
        <v>405</v>
      </c>
      <c r="B1217" t="s">
        <v>725</v>
      </c>
      <c r="C1217" t="s">
        <v>4318</v>
      </c>
      <c r="D1217" t="s">
        <v>4319</v>
      </c>
      <c r="E1217" t="s">
        <v>1010</v>
      </c>
      <c r="F1217" t="s">
        <v>445</v>
      </c>
      <c r="G1217" t="s">
        <v>24</v>
      </c>
      <c r="H1217">
        <f>21001*(1.01^10)</f>
        <v>23198.169255760709</v>
      </c>
      <c r="I1217">
        <f>133038*(1.01^10)</f>
        <v>146956.71832045587</v>
      </c>
      <c r="J1217" t="s">
        <v>4320</v>
      </c>
      <c r="K1217">
        <f t="shared" si="18"/>
        <v>1143.4513508737571</v>
      </c>
    </row>
    <row r="1218" spans="1:11" x14ac:dyDescent="0.2">
      <c r="A1218" t="s">
        <v>405</v>
      </c>
      <c r="B1218" t="s">
        <v>725</v>
      </c>
      <c r="C1218" t="s">
        <v>4321</v>
      </c>
      <c r="D1218" t="s">
        <v>4322</v>
      </c>
      <c r="E1218" t="s">
        <v>2400</v>
      </c>
      <c r="F1218" t="s">
        <v>445</v>
      </c>
      <c r="G1218" t="s">
        <v>24</v>
      </c>
      <c r="H1218">
        <f>27414*(1.01^10)</f>
        <v>30282.110946022767</v>
      </c>
      <c r="I1218">
        <f>178199*(1.01^10)</f>
        <v>196842.55812615127</v>
      </c>
      <c r="J1218" t="s">
        <v>4323</v>
      </c>
      <c r="K1218">
        <f t="shared" si="18"/>
        <v>1310.5892039422395</v>
      </c>
    </row>
    <row r="1219" spans="1:11" x14ac:dyDescent="0.2">
      <c r="A1219" t="s">
        <v>405</v>
      </c>
      <c r="B1219" t="s">
        <v>725</v>
      </c>
      <c r="C1219" t="s">
        <v>4324</v>
      </c>
      <c r="D1219" t="s">
        <v>4325</v>
      </c>
      <c r="E1219" t="s">
        <v>172</v>
      </c>
      <c r="F1219" t="s">
        <v>92</v>
      </c>
      <c r="G1219" t="s">
        <v>24</v>
      </c>
      <c r="H1219">
        <f>15815*(1.01^10)</f>
        <v>17469.598913378202</v>
      </c>
      <c r="I1219">
        <f>99933*(1.01^10)</f>
        <v>110388.20285871792</v>
      </c>
      <c r="J1219" t="s">
        <v>4326</v>
      </c>
      <c r="K1219">
        <f t="shared" ref="K1219:K1282" si="19">I1219/J1219</f>
        <v>1377.3944589537712</v>
      </c>
    </row>
    <row r="1220" spans="1:11" x14ac:dyDescent="0.2">
      <c r="A1220" t="s">
        <v>405</v>
      </c>
      <c r="B1220" t="s">
        <v>725</v>
      </c>
      <c r="C1220" t="s">
        <v>4327</v>
      </c>
      <c r="D1220" t="s">
        <v>4328</v>
      </c>
      <c r="E1220" t="s">
        <v>493</v>
      </c>
      <c r="F1220" t="s">
        <v>158</v>
      </c>
      <c r="G1220" t="s">
        <v>24</v>
      </c>
      <c r="H1220">
        <f>53348*(1.01^10)</f>
        <v>58929.38114643695</v>
      </c>
      <c r="I1220">
        <f>332041*(1.01^10)</f>
        <v>366779.83514366182</v>
      </c>
      <c r="J1220" t="s">
        <v>4329</v>
      </c>
      <c r="K1220">
        <f t="shared" si="19"/>
        <v>1482.4491269351968</v>
      </c>
    </row>
    <row r="1221" spans="1:11" x14ac:dyDescent="0.2">
      <c r="A1221" t="s">
        <v>405</v>
      </c>
      <c r="B1221" t="s">
        <v>725</v>
      </c>
      <c r="C1221" t="s">
        <v>4330</v>
      </c>
      <c r="D1221" t="s">
        <v>4331</v>
      </c>
      <c r="E1221" t="s">
        <v>1223</v>
      </c>
      <c r="F1221" t="s">
        <v>6</v>
      </c>
      <c r="G1221" t="s">
        <v>24</v>
      </c>
      <c r="H1221">
        <f>20149*(1.01^10)</f>
        <v>22257.031204910363</v>
      </c>
      <c r="I1221">
        <f>130801*(1.01^10)</f>
        <v>144485.67862591098</v>
      </c>
      <c r="J1221" t="s">
        <v>4332</v>
      </c>
      <c r="K1221">
        <f t="shared" si="19"/>
        <v>1513.8808936703078</v>
      </c>
    </row>
    <row r="1222" spans="1:11" x14ac:dyDescent="0.2">
      <c r="A1222" t="s">
        <v>405</v>
      </c>
      <c r="B1222" t="s">
        <v>725</v>
      </c>
      <c r="C1222" t="s">
        <v>4333</v>
      </c>
      <c r="D1222" t="s">
        <v>4334</v>
      </c>
      <c r="E1222" t="s">
        <v>489</v>
      </c>
      <c r="F1222" t="s">
        <v>5</v>
      </c>
      <c r="G1222" t="s">
        <v>12</v>
      </c>
      <c r="H1222">
        <f>35088*(1.01^10)</f>
        <v>38758.981136428352</v>
      </c>
      <c r="I1222">
        <f>221804*(1.01^10)</f>
        <v>245009.60590470687</v>
      </c>
      <c r="J1222" t="s">
        <v>4335</v>
      </c>
      <c r="K1222">
        <f t="shared" si="19"/>
        <v>1695.7964911516158</v>
      </c>
    </row>
    <row r="1223" spans="1:11" x14ac:dyDescent="0.2">
      <c r="A1223" t="s">
        <v>405</v>
      </c>
      <c r="B1223" t="s">
        <v>725</v>
      </c>
      <c r="C1223" t="s">
        <v>4336</v>
      </c>
      <c r="D1223" t="s">
        <v>4337</v>
      </c>
      <c r="E1223" t="s">
        <v>1589</v>
      </c>
      <c r="F1223" t="s">
        <v>6</v>
      </c>
      <c r="G1223" t="s">
        <v>12</v>
      </c>
      <c r="H1223">
        <f>26901*(1.01^10)</f>
        <v>29715.43979568682</v>
      </c>
      <c r="I1223">
        <f>177677*(1.01^10)</f>
        <v>196265.94537668664</v>
      </c>
      <c r="J1223" t="s">
        <v>4338</v>
      </c>
      <c r="K1223">
        <f t="shared" si="19"/>
        <v>1680.9015557313455</v>
      </c>
    </row>
    <row r="1224" spans="1:11" x14ac:dyDescent="0.2">
      <c r="A1224" t="s">
        <v>405</v>
      </c>
      <c r="B1224" t="s">
        <v>725</v>
      </c>
      <c r="C1224" t="s">
        <v>4339</v>
      </c>
      <c r="D1224" t="s">
        <v>4340</v>
      </c>
      <c r="E1224" t="s">
        <v>23</v>
      </c>
      <c r="F1224" t="s">
        <v>5</v>
      </c>
      <c r="G1224" t="s">
        <v>24</v>
      </c>
      <c r="H1224">
        <f>18138*(1.01^10)</f>
        <v>20035.63611070843</v>
      </c>
      <c r="I1224">
        <f>116106*(1.01^10)</f>
        <v>128253.25649299334</v>
      </c>
      <c r="J1224" t="s">
        <v>4341</v>
      </c>
      <c r="K1224">
        <f t="shared" si="19"/>
        <v>1708.1884369283844</v>
      </c>
    </row>
    <row r="1225" spans="1:11" x14ac:dyDescent="0.2">
      <c r="A1225" t="s">
        <v>405</v>
      </c>
      <c r="B1225" t="s">
        <v>725</v>
      </c>
      <c r="C1225" t="s">
        <v>4343</v>
      </c>
      <c r="D1225" t="s">
        <v>4344</v>
      </c>
      <c r="E1225" t="s">
        <v>51</v>
      </c>
      <c r="F1225" t="s">
        <v>382</v>
      </c>
      <c r="G1225" t="s">
        <v>12</v>
      </c>
      <c r="H1225">
        <f>36381*(1.01^10)</f>
        <v>40187.257544585038</v>
      </c>
      <c r="I1225">
        <f>219527*(1.01^10)</f>
        <v>242494.38132514554</v>
      </c>
      <c r="J1225" t="s">
        <v>4345</v>
      </c>
      <c r="K1225">
        <f t="shared" si="19"/>
        <v>1199.990503504453</v>
      </c>
    </row>
    <row r="1226" spans="1:11" x14ac:dyDescent="0.2">
      <c r="A1226" t="s">
        <v>405</v>
      </c>
      <c r="B1226" t="s">
        <v>725</v>
      </c>
      <c r="C1226" t="s">
        <v>4346</v>
      </c>
      <c r="D1226" t="s">
        <v>4347</v>
      </c>
      <c r="E1226" t="s">
        <v>40</v>
      </c>
      <c r="F1226" t="s">
        <v>6</v>
      </c>
      <c r="G1226" t="s">
        <v>24</v>
      </c>
      <c r="H1226">
        <f>32861*(1.01^10)</f>
        <v>36298.987663137603</v>
      </c>
      <c r="I1226">
        <f>199452*(1.01^10)</f>
        <v>220319.09215751561</v>
      </c>
      <c r="J1226" t="s">
        <v>4348</v>
      </c>
      <c r="K1226">
        <f t="shared" si="19"/>
        <v>1551.5815441478751</v>
      </c>
    </row>
    <row r="1227" spans="1:11" x14ac:dyDescent="0.2">
      <c r="A1227" t="s">
        <v>405</v>
      </c>
      <c r="B1227" t="s">
        <v>725</v>
      </c>
      <c r="C1227" t="s">
        <v>4349</v>
      </c>
      <c r="D1227" t="s">
        <v>4350</v>
      </c>
      <c r="E1227" t="s">
        <v>1589</v>
      </c>
      <c r="F1227" t="s">
        <v>92</v>
      </c>
      <c r="G1227" t="s">
        <v>12</v>
      </c>
      <c r="H1227">
        <f>44007*(1.01^10)</f>
        <v>48611.105872970889</v>
      </c>
      <c r="I1227">
        <f>263876*(1.01^10)</f>
        <v>291483.26796500705</v>
      </c>
      <c r="J1227" t="s">
        <v>4351</v>
      </c>
      <c r="K1227">
        <f t="shared" si="19"/>
        <v>1539.9835894985415</v>
      </c>
    </row>
    <row r="1228" spans="1:11" x14ac:dyDescent="0.2">
      <c r="A1228" t="s">
        <v>405</v>
      </c>
      <c r="B1228" t="s">
        <v>725</v>
      </c>
      <c r="C1228" t="s">
        <v>4352</v>
      </c>
      <c r="D1228" t="s">
        <v>4353</v>
      </c>
      <c r="E1228" t="s">
        <v>2795</v>
      </c>
      <c r="F1228" t="s">
        <v>17</v>
      </c>
      <c r="G1228" t="s">
        <v>24</v>
      </c>
      <c r="H1228">
        <f>23854*(1.01^10)</f>
        <v>26349.656179558879</v>
      </c>
      <c r="I1228">
        <f>141563*(1.01^10)</f>
        <v>156373.62193958639</v>
      </c>
      <c r="J1228" t="s">
        <v>4354</v>
      </c>
      <c r="K1228">
        <f t="shared" si="19"/>
        <v>1390.9087038529547</v>
      </c>
    </row>
    <row r="1229" spans="1:11" x14ac:dyDescent="0.2">
      <c r="A1229" t="s">
        <v>405</v>
      </c>
      <c r="B1229" t="s">
        <v>725</v>
      </c>
      <c r="C1229" t="s">
        <v>4355</v>
      </c>
      <c r="D1229" t="s">
        <v>4356</v>
      </c>
      <c r="E1229" t="s">
        <v>287</v>
      </c>
      <c r="F1229" t="s">
        <v>220</v>
      </c>
      <c r="G1229" t="s">
        <v>24</v>
      </c>
      <c r="H1229">
        <f>36774*(1.01^10)</f>
        <v>40621.37403987164</v>
      </c>
      <c r="I1229">
        <f>217165*(1.01^10)</f>
        <v>239885.26386492429</v>
      </c>
      <c r="J1229" t="s">
        <v>4357</v>
      </c>
      <c r="K1229">
        <f t="shared" si="19"/>
        <v>1175.9366021853657</v>
      </c>
    </row>
    <row r="1230" spans="1:11" x14ac:dyDescent="0.2">
      <c r="A1230" t="s">
        <v>405</v>
      </c>
      <c r="B1230" t="s">
        <v>507</v>
      </c>
      <c r="C1230" t="s">
        <v>4358</v>
      </c>
      <c r="D1230" t="s">
        <v>3754</v>
      </c>
      <c r="E1230" t="s">
        <v>333</v>
      </c>
      <c r="F1230" t="s">
        <v>12</v>
      </c>
      <c r="G1230" t="s">
        <v>24</v>
      </c>
      <c r="H1230">
        <f>14102*(1.01^10)</f>
        <v>15577.381212548809</v>
      </c>
      <c r="I1230">
        <f>90714*(1.01^10)</f>
        <v>100204.69148455202</v>
      </c>
      <c r="J1230" t="s">
        <v>4359</v>
      </c>
      <c r="K1230">
        <f t="shared" si="19"/>
        <v>1690.5914754169728</v>
      </c>
    </row>
    <row r="1231" spans="1:11" x14ac:dyDescent="0.2">
      <c r="A1231" t="s">
        <v>405</v>
      </c>
      <c r="B1231" t="s">
        <v>507</v>
      </c>
      <c r="C1231" t="s">
        <v>4360</v>
      </c>
      <c r="D1231" t="s">
        <v>4361</v>
      </c>
      <c r="E1231" t="s">
        <v>1195</v>
      </c>
      <c r="F1231" t="s">
        <v>24</v>
      </c>
      <c r="G1231" t="s">
        <v>12</v>
      </c>
      <c r="H1231">
        <f>52594*(1.01^10)</f>
        <v>58096.496063876904</v>
      </c>
      <c r="I1231">
        <f>340983*(1.01^10)</f>
        <v>376657.36618908885</v>
      </c>
      <c r="J1231" t="s">
        <v>4362</v>
      </c>
      <c r="K1231">
        <f t="shared" si="19"/>
        <v>2887.6855315055618</v>
      </c>
    </row>
    <row r="1232" spans="1:11" x14ac:dyDescent="0.2">
      <c r="A1232" t="s">
        <v>405</v>
      </c>
      <c r="B1232" t="s">
        <v>507</v>
      </c>
      <c r="C1232" t="s">
        <v>4363</v>
      </c>
      <c r="D1232" t="s">
        <v>4364</v>
      </c>
      <c r="E1232" t="s">
        <v>679</v>
      </c>
      <c r="F1232" t="s">
        <v>12</v>
      </c>
      <c r="G1232" t="s">
        <v>24</v>
      </c>
      <c r="H1232">
        <f>52271*(1.01^10)</f>
        <v>57739.703117369085</v>
      </c>
      <c r="I1232">
        <f>321292*(1.01^10)</f>
        <v>354906.25191761681</v>
      </c>
      <c r="J1232" t="s">
        <v>4365</v>
      </c>
      <c r="K1232">
        <f t="shared" si="19"/>
        <v>1977.2109726620458</v>
      </c>
    </row>
    <row r="1233" spans="1:11" x14ac:dyDescent="0.2">
      <c r="A1233" t="s">
        <v>405</v>
      </c>
      <c r="B1233" t="s">
        <v>507</v>
      </c>
      <c r="C1233" t="s">
        <v>4366</v>
      </c>
      <c r="D1233" t="s">
        <v>4367</v>
      </c>
      <c r="E1233" t="s">
        <v>1195</v>
      </c>
      <c r="F1233" t="s">
        <v>24</v>
      </c>
      <c r="G1233" t="s">
        <v>24</v>
      </c>
      <c r="H1233">
        <f>36982*(1.01^10)</f>
        <v>40851.135441957173</v>
      </c>
      <c r="I1233">
        <f>223709*(1.01^10)</f>
        <v>247113.91105361521</v>
      </c>
      <c r="J1233" t="s">
        <v>4368</v>
      </c>
      <c r="K1233">
        <f t="shared" si="19"/>
        <v>1724.2811152839899</v>
      </c>
    </row>
    <row r="1234" spans="1:11" x14ac:dyDescent="0.2">
      <c r="A1234" t="s">
        <v>405</v>
      </c>
      <c r="B1234" t="s">
        <v>507</v>
      </c>
      <c r="C1234" t="s">
        <v>4369</v>
      </c>
      <c r="D1234" t="s">
        <v>4370</v>
      </c>
      <c r="E1234" t="s">
        <v>16</v>
      </c>
      <c r="F1234" t="s">
        <v>12</v>
      </c>
      <c r="G1234" t="s">
        <v>24</v>
      </c>
      <c r="H1234">
        <f>21051*(1.01^10)</f>
        <v>23253.400362031272</v>
      </c>
      <c r="I1234">
        <f>128899*(1.01^10)</f>
        <v>142384.68734337887</v>
      </c>
      <c r="J1234" t="s">
        <v>4371</v>
      </c>
      <c r="K1234">
        <f t="shared" si="19"/>
        <v>1526.5009595096308</v>
      </c>
    </row>
    <row r="1235" spans="1:11" x14ac:dyDescent="0.2">
      <c r="A1235" t="s">
        <v>405</v>
      </c>
      <c r="B1235" t="s">
        <v>507</v>
      </c>
      <c r="C1235" t="s">
        <v>4373</v>
      </c>
      <c r="D1235" t="s">
        <v>3974</v>
      </c>
      <c r="E1235" t="s">
        <v>185</v>
      </c>
      <c r="F1235" t="s">
        <v>24</v>
      </c>
      <c r="G1235" t="s">
        <v>24</v>
      </c>
      <c r="H1235">
        <f>17061*(1.01^10)</f>
        <v>18845.958081640565</v>
      </c>
      <c r="I1235">
        <f>105229*(1.01^10)</f>
        <v>116238.28163489567</v>
      </c>
      <c r="J1235" t="s">
        <v>4374</v>
      </c>
      <c r="K1235">
        <f t="shared" si="19"/>
        <v>2233.4861845344799</v>
      </c>
    </row>
    <row r="1236" spans="1:11" x14ac:dyDescent="0.2">
      <c r="A1236" t="s">
        <v>405</v>
      </c>
      <c r="B1236" t="s">
        <v>507</v>
      </c>
      <c r="C1236" t="s">
        <v>4375</v>
      </c>
      <c r="D1236" t="s">
        <v>4376</v>
      </c>
      <c r="E1236" t="s">
        <v>503</v>
      </c>
      <c r="F1236" t="s">
        <v>12</v>
      </c>
      <c r="G1236" t="s">
        <v>24</v>
      </c>
      <c r="H1236">
        <f>35669*(1.01^10)</f>
        <v>39400.76659129226</v>
      </c>
      <c r="I1236">
        <f>220651*(1.01^10)</f>
        <v>243735.97659410775</v>
      </c>
      <c r="J1236" t="s">
        <v>4377</v>
      </c>
      <c r="K1236">
        <f t="shared" si="19"/>
        <v>1539.8012464543785</v>
      </c>
    </row>
    <row r="1237" spans="1:11" x14ac:dyDescent="0.2">
      <c r="A1237" t="s">
        <v>405</v>
      </c>
      <c r="B1237" t="s">
        <v>507</v>
      </c>
      <c r="C1237" t="s">
        <v>4378</v>
      </c>
      <c r="D1237" t="s">
        <v>3083</v>
      </c>
      <c r="E1237" t="s">
        <v>537</v>
      </c>
      <c r="F1237" t="s">
        <v>17</v>
      </c>
      <c r="G1237" t="s">
        <v>12</v>
      </c>
      <c r="H1237">
        <f>31337*(1.01^10)</f>
        <v>34615.543544010921</v>
      </c>
      <c r="I1237">
        <f>190217*(1.01^10)</f>
        <v>210117.90682934312</v>
      </c>
      <c r="J1237" t="s">
        <v>4379</v>
      </c>
      <c r="K1237">
        <f t="shared" si="19"/>
        <v>1886.5345032842745</v>
      </c>
    </row>
    <row r="1238" spans="1:11" x14ac:dyDescent="0.2">
      <c r="A1238" t="s">
        <v>405</v>
      </c>
      <c r="B1238" t="s">
        <v>507</v>
      </c>
      <c r="C1238" t="s">
        <v>4380</v>
      </c>
      <c r="D1238" t="s">
        <v>4381</v>
      </c>
      <c r="E1238" t="s">
        <v>1195</v>
      </c>
      <c r="F1238" t="s">
        <v>11</v>
      </c>
      <c r="G1238" t="s">
        <v>24</v>
      </c>
      <c r="H1238">
        <f>33000*(1.01^10)</f>
        <v>36452.530138569753</v>
      </c>
      <c r="I1238">
        <f>201759*(1.01^10)</f>
        <v>222867.45540083924</v>
      </c>
      <c r="J1238" t="s">
        <v>4382</v>
      </c>
      <c r="K1238">
        <f t="shared" si="19"/>
        <v>1733.9031911902189</v>
      </c>
    </row>
    <row r="1239" spans="1:11" x14ac:dyDescent="0.2">
      <c r="A1239" t="s">
        <v>405</v>
      </c>
      <c r="B1239" t="s">
        <v>507</v>
      </c>
      <c r="C1239" t="s">
        <v>4383</v>
      </c>
      <c r="D1239" t="s">
        <v>4384</v>
      </c>
      <c r="E1239" t="s">
        <v>789</v>
      </c>
      <c r="F1239" t="s">
        <v>12</v>
      </c>
      <c r="G1239" t="s">
        <v>24</v>
      </c>
      <c r="H1239">
        <f>28123*(1.01^10)</f>
        <v>31065.288032939312</v>
      </c>
      <c r="I1239">
        <f>182794*(1.01^10)</f>
        <v>201918.29679241576</v>
      </c>
      <c r="J1239" t="s">
        <v>4385</v>
      </c>
      <c r="K1239">
        <f t="shared" si="19"/>
        <v>2436.6081990426487</v>
      </c>
    </row>
    <row r="1240" spans="1:11" x14ac:dyDescent="0.2">
      <c r="A1240" t="s">
        <v>405</v>
      </c>
      <c r="B1240" t="s">
        <v>507</v>
      </c>
      <c r="C1240" t="s">
        <v>4386</v>
      </c>
      <c r="D1240" t="s">
        <v>4387</v>
      </c>
      <c r="E1240" t="s">
        <v>1229</v>
      </c>
      <c r="F1240" t="s">
        <v>17</v>
      </c>
      <c r="G1240" t="s">
        <v>24</v>
      </c>
      <c r="H1240">
        <f>25117*(1.01^10)</f>
        <v>27744.793923953228</v>
      </c>
      <c r="I1240">
        <f>163752*(1.01^10)</f>
        <v>180884.0822803356</v>
      </c>
      <c r="J1240" t="s">
        <v>4388</v>
      </c>
      <c r="K1240">
        <f t="shared" si="19"/>
        <v>1805.1843015297738</v>
      </c>
    </row>
    <row r="1241" spans="1:11" x14ac:dyDescent="0.2">
      <c r="A1241" t="s">
        <v>405</v>
      </c>
      <c r="B1241" t="s">
        <v>507</v>
      </c>
      <c r="C1241" t="s">
        <v>4389</v>
      </c>
      <c r="D1241" t="s">
        <v>4390</v>
      </c>
      <c r="E1241" t="s">
        <v>126</v>
      </c>
      <c r="F1241" t="s">
        <v>12</v>
      </c>
      <c r="G1241" t="s">
        <v>12</v>
      </c>
      <c r="H1241">
        <f>19147*(1.01^10)</f>
        <v>21150.199835248339</v>
      </c>
      <c r="I1241">
        <f>113499*(1.01^10)</f>
        <v>125373.50661204633</v>
      </c>
      <c r="J1241" t="s">
        <v>4391</v>
      </c>
      <c r="K1241">
        <f t="shared" si="19"/>
        <v>995.4303717892484</v>
      </c>
    </row>
    <row r="1242" spans="1:11" x14ac:dyDescent="0.2">
      <c r="A1242" t="s">
        <v>405</v>
      </c>
      <c r="B1242" t="s">
        <v>507</v>
      </c>
      <c r="C1242" t="s">
        <v>4392</v>
      </c>
      <c r="D1242" t="s">
        <v>4393</v>
      </c>
      <c r="E1242" t="s">
        <v>148</v>
      </c>
      <c r="F1242" t="s">
        <v>6</v>
      </c>
      <c r="G1242" t="s">
        <v>24</v>
      </c>
      <c r="H1242">
        <f>21530*(1.01^10)</f>
        <v>23782.51436010324</v>
      </c>
      <c r="I1242">
        <f>128155*(1.01^10)</f>
        <v>141562.84848207294</v>
      </c>
      <c r="J1242" t="s">
        <v>4394</v>
      </c>
      <c r="K1242">
        <f t="shared" si="19"/>
        <v>2152.2776549169707</v>
      </c>
    </row>
    <row r="1243" spans="1:11" x14ac:dyDescent="0.2">
      <c r="A1243" t="s">
        <v>405</v>
      </c>
      <c r="B1243" t="s">
        <v>507</v>
      </c>
      <c r="C1243" t="s">
        <v>4395</v>
      </c>
      <c r="D1243" t="s">
        <v>4396</v>
      </c>
      <c r="E1243" t="s">
        <v>148</v>
      </c>
      <c r="F1243" t="s">
        <v>411</v>
      </c>
      <c r="G1243" t="s">
        <v>24</v>
      </c>
      <c r="H1243">
        <f>27111*(1.01^10)</f>
        <v>29947.410442023171</v>
      </c>
      <c r="I1243">
        <f>174357*(1.01^10)</f>
        <v>192598.59992032143</v>
      </c>
      <c r="J1243" t="s">
        <v>4397</v>
      </c>
      <c r="K1243">
        <f t="shared" si="19"/>
        <v>2039.6337551259828</v>
      </c>
    </row>
    <row r="1244" spans="1:11" x14ac:dyDescent="0.2">
      <c r="A1244" t="s">
        <v>405</v>
      </c>
      <c r="B1244" t="s">
        <v>507</v>
      </c>
      <c r="C1244" t="s">
        <v>4398</v>
      </c>
      <c r="D1244" t="s">
        <v>4399</v>
      </c>
      <c r="E1244" t="s">
        <v>264</v>
      </c>
      <c r="F1244" t="s">
        <v>158</v>
      </c>
      <c r="G1244" t="s">
        <v>24</v>
      </c>
      <c r="H1244">
        <f>17691*(1.01^10)</f>
        <v>19541.870020649621</v>
      </c>
      <c r="I1244">
        <f>110027*(1.01^10)</f>
        <v>121538.25859261863</v>
      </c>
      <c r="J1244" t="s">
        <v>4400</v>
      </c>
      <c r="K1244">
        <f t="shared" si="19"/>
        <v>675.73088026579921</v>
      </c>
    </row>
    <row r="1245" spans="1:11" x14ac:dyDescent="0.2">
      <c r="A1245" t="s">
        <v>405</v>
      </c>
      <c r="B1245" t="s">
        <v>507</v>
      </c>
      <c r="C1245" t="s">
        <v>4401</v>
      </c>
      <c r="D1245" t="s">
        <v>4402</v>
      </c>
      <c r="E1245" t="s">
        <v>1223</v>
      </c>
      <c r="F1245" t="s">
        <v>56</v>
      </c>
      <c r="G1245" t="s">
        <v>24</v>
      </c>
      <c r="H1245">
        <f>25470*(1.01^10)</f>
        <v>28134.725534223384</v>
      </c>
      <c r="I1245">
        <f>157694*(1.01^10)</f>
        <v>174192.28144459453</v>
      </c>
      <c r="J1245" t="s">
        <v>4403</v>
      </c>
      <c r="K1245">
        <f t="shared" si="19"/>
        <v>1748.0039926363288</v>
      </c>
    </row>
    <row r="1246" spans="1:11" x14ac:dyDescent="0.2">
      <c r="A1246" t="s">
        <v>405</v>
      </c>
      <c r="B1246" t="s">
        <v>507</v>
      </c>
      <c r="C1246" t="s">
        <v>4404</v>
      </c>
      <c r="D1246" t="s">
        <v>4405</v>
      </c>
      <c r="E1246" t="s">
        <v>51</v>
      </c>
      <c r="F1246" t="s">
        <v>92</v>
      </c>
      <c r="G1246" t="s">
        <v>24</v>
      </c>
      <c r="H1246">
        <f>23488*(1.01^10)</f>
        <v>25945.364481658376</v>
      </c>
      <c r="I1246">
        <f>149580*(1.01^10)</f>
        <v>165229.37751900801</v>
      </c>
      <c r="J1246" t="s">
        <v>4406</v>
      </c>
      <c r="K1246">
        <f t="shared" si="19"/>
        <v>1053.9321224484395</v>
      </c>
    </row>
    <row r="1247" spans="1:11" x14ac:dyDescent="0.2">
      <c r="A1247" t="s">
        <v>405</v>
      </c>
      <c r="B1247" t="s">
        <v>507</v>
      </c>
      <c r="C1247" t="s">
        <v>4407</v>
      </c>
      <c r="D1247" t="s">
        <v>4408</v>
      </c>
      <c r="E1247" t="s">
        <v>1229</v>
      </c>
      <c r="F1247" t="s">
        <v>11</v>
      </c>
      <c r="G1247" t="s">
        <v>24</v>
      </c>
      <c r="H1247">
        <f>26822*(1.01^10)</f>
        <v>29628.174647779335</v>
      </c>
      <c r="I1247">
        <f>173200*(1.01^10)</f>
        <v>191320.55212122065</v>
      </c>
      <c r="J1247" t="s">
        <v>4409</v>
      </c>
      <c r="K1247">
        <f t="shared" si="19"/>
        <v>1438.1523389564072</v>
      </c>
    </row>
    <row r="1248" spans="1:11" x14ac:dyDescent="0.2">
      <c r="A1248" t="s">
        <v>405</v>
      </c>
      <c r="B1248" t="s">
        <v>507</v>
      </c>
      <c r="C1248" t="s">
        <v>4410</v>
      </c>
      <c r="D1248" t="s">
        <v>4411</v>
      </c>
      <c r="E1248" t="s">
        <v>542</v>
      </c>
      <c r="F1248" t="s">
        <v>44</v>
      </c>
      <c r="G1248" t="s">
        <v>24</v>
      </c>
      <c r="H1248">
        <f>27095*(1.01^10)</f>
        <v>29929.736488016591</v>
      </c>
      <c r="I1248">
        <f>153953*(1.01^10)</f>
        <v>170059.89007343119</v>
      </c>
      <c r="J1248" t="s">
        <v>4412</v>
      </c>
      <c r="K1248">
        <f t="shared" si="19"/>
        <v>1366.7955873853987</v>
      </c>
    </row>
    <row r="1249" spans="1:11" x14ac:dyDescent="0.2">
      <c r="A1249" t="s">
        <v>405</v>
      </c>
      <c r="B1249" t="s">
        <v>848</v>
      </c>
      <c r="C1249" t="s">
        <v>4413</v>
      </c>
      <c r="D1249" t="s">
        <v>4414</v>
      </c>
      <c r="E1249" t="s">
        <v>998</v>
      </c>
      <c r="F1249" t="s">
        <v>12</v>
      </c>
      <c r="G1249" t="s">
        <v>24</v>
      </c>
      <c r="H1249">
        <f>30484*(1.01^10)</f>
        <v>33673.300871035164</v>
      </c>
      <c r="I1249">
        <f>188899*(1.01^10)</f>
        <v>208662.01486805116</v>
      </c>
      <c r="J1249" t="s">
        <v>4415</v>
      </c>
      <c r="K1249">
        <f t="shared" si="19"/>
        <v>1692.1469968480246</v>
      </c>
    </row>
    <row r="1250" spans="1:11" x14ac:dyDescent="0.2">
      <c r="A1250" t="s">
        <v>405</v>
      </c>
      <c r="B1250" t="s">
        <v>848</v>
      </c>
      <c r="C1250" t="s">
        <v>4416</v>
      </c>
      <c r="D1250" t="s">
        <v>4417</v>
      </c>
      <c r="E1250" t="s">
        <v>425</v>
      </c>
      <c r="F1250" t="s">
        <v>6</v>
      </c>
      <c r="G1250" t="s">
        <v>24</v>
      </c>
      <c r="H1250">
        <f>20414*(1.01^10)</f>
        <v>22549.756068144332</v>
      </c>
      <c r="I1250">
        <f>121738*(1.01^10)</f>
        <v>134474.48830330925</v>
      </c>
      <c r="J1250" t="s">
        <v>4418</v>
      </c>
      <c r="K1250">
        <f t="shared" si="19"/>
        <v>1242.466866592631</v>
      </c>
    </row>
    <row r="1251" spans="1:11" x14ac:dyDescent="0.2">
      <c r="A1251" t="s">
        <v>405</v>
      </c>
      <c r="B1251" t="s">
        <v>848</v>
      </c>
      <c r="C1251" t="s">
        <v>4419</v>
      </c>
      <c r="D1251" t="s">
        <v>4420</v>
      </c>
      <c r="E1251" t="s">
        <v>777</v>
      </c>
      <c r="F1251" t="s">
        <v>318</v>
      </c>
      <c r="G1251" t="s">
        <v>24</v>
      </c>
      <c r="H1251">
        <f>23698*(1.01^10)</f>
        <v>26177.335127994731</v>
      </c>
      <c r="I1251">
        <f>138721*(1.01^10)</f>
        <v>153234.28585916772</v>
      </c>
      <c r="J1251" t="s">
        <v>4421</v>
      </c>
      <c r="K1251">
        <f t="shared" si="19"/>
        <v>1411.1089728960221</v>
      </c>
    </row>
    <row r="1252" spans="1:11" x14ac:dyDescent="0.2">
      <c r="A1252" t="s">
        <v>405</v>
      </c>
      <c r="B1252" t="s">
        <v>848</v>
      </c>
      <c r="C1252" t="s">
        <v>4422</v>
      </c>
      <c r="D1252" t="s">
        <v>4423</v>
      </c>
      <c r="E1252" t="s">
        <v>264</v>
      </c>
      <c r="F1252" t="s">
        <v>17</v>
      </c>
      <c r="G1252" t="s">
        <v>24</v>
      </c>
      <c r="H1252">
        <f>24110*(1.01^10)</f>
        <v>26632.439443664145</v>
      </c>
      <c r="I1252">
        <f>146822*(1.01^10)</f>
        <v>162182.8296971239</v>
      </c>
      <c r="J1252" t="s">
        <v>4424</v>
      </c>
      <c r="K1252">
        <f t="shared" si="19"/>
        <v>1597.1616640723516</v>
      </c>
    </row>
    <row r="1253" spans="1:11" x14ac:dyDescent="0.2">
      <c r="A1253" t="s">
        <v>405</v>
      </c>
      <c r="B1253" t="s">
        <v>848</v>
      </c>
      <c r="C1253" t="s">
        <v>4425</v>
      </c>
      <c r="D1253" t="s">
        <v>4426</v>
      </c>
      <c r="E1253" t="s">
        <v>1944</v>
      </c>
      <c r="F1253" t="s">
        <v>158</v>
      </c>
      <c r="G1253" t="s">
        <v>24</v>
      </c>
      <c r="H1253">
        <f>42593*(1.01^10)</f>
        <v>47049.170187639444</v>
      </c>
      <c r="I1253">
        <f>262673*(1.01^10)</f>
        <v>290154.40754813736</v>
      </c>
      <c r="J1253" t="s">
        <v>4427</v>
      </c>
      <c r="K1253">
        <f t="shared" si="19"/>
        <v>1825.2366974814745</v>
      </c>
    </row>
    <row r="1254" spans="1:11" x14ac:dyDescent="0.2">
      <c r="A1254" t="s">
        <v>405</v>
      </c>
      <c r="B1254" t="s">
        <v>848</v>
      </c>
      <c r="C1254" t="s">
        <v>4428</v>
      </c>
      <c r="D1254" t="s">
        <v>4429</v>
      </c>
      <c r="E1254" t="s">
        <v>72</v>
      </c>
      <c r="F1254" t="s">
        <v>11</v>
      </c>
      <c r="G1254" t="s">
        <v>24</v>
      </c>
      <c r="H1254">
        <f>13068*(1.01^10)</f>
        <v>14435.201934873623</v>
      </c>
      <c r="I1254">
        <f>79969*(1.01^10)</f>
        <v>88335.526747008626</v>
      </c>
      <c r="J1254" t="s">
        <v>4430</v>
      </c>
      <c r="K1254">
        <f t="shared" si="19"/>
        <v>1672.6631023815987</v>
      </c>
    </row>
    <row r="1255" spans="1:11" x14ac:dyDescent="0.2">
      <c r="A1255" t="s">
        <v>405</v>
      </c>
      <c r="B1255" t="s">
        <v>848</v>
      </c>
      <c r="C1255" t="s">
        <v>4431</v>
      </c>
      <c r="D1255" t="s">
        <v>4432</v>
      </c>
      <c r="E1255" t="s">
        <v>287</v>
      </c>
      <c r="F1255" t="s">
        <v>12</v>
      </c>
      <c r="G1255" t="s">
        <v>24</v>
      </c>
      <c r="H1255">
        <f>34213*(1.01^10)</f>
        <v>37792.436776693547</v>
      </c>
      <c r="I1255">
        <f>214445*(1.01^10)</f>
        <v>236880.69168380581</v>
      </c>
      <c r="J1255" t="s">
        <v>4433</v>
      </c>
      <c r="K1255">
        <f t="shared" si="19"/>
        <v>1584.4114400644162</v>
      </c>
    </row>
    <row r="1256" spans="1:11" x14ac:dyDescent="0.2">
      <c r="A1256" t="s">
        <v>405</v>
      </c>
      <c r="B1256" t="s">
        <v>848</v>
      </c>
      <c r="C1256" t="s">
        <v>4434</v>
      </c>
      <c r="D1256" t="s">
        <v>4435</v>
      </c>
      <c r="E1256" t="s">
        <v>1303</v>
      </c>
      <c r="F1256" t="s">
        <v>61</v>
      </c>
      <c r="G1256" t="s">
        <v>24</v>
      </c>
      <c r="H1256">
        <f>42128*(1.01^10)</f>
        <v>46535.52089932323</v>
      </c>
      <c r="I1256">
        <f>268073*(1.01^10)</f>
        <v>296119.3670253579</v>
      </c>
      <c r="J1256" t="s">
        <v>4436</v>
      </c>
      <c r="K1256">
        <f t="shared" si="19"/>
        <v>1579.0855256451753</v>
      </c>
    </row>
    <row r="1257" spans="1:11" x14ac:dyDescent="0.2">
      <c r="A1257" t="s">
        <v>405</v>
      </c>
      <c r="B1257" t="s">
        <v>848</v>
      </c>
      <c r="C1257" t="s">
        <v>4437</v>
      </c>
      <c r="D1257" t="s">
        <v>4438</v>
      </c>
      <c r="E1257" t="s">
        <v>137</v>
      </c>
      <c r="F1257" t="s">
        <v>158</v>
      </c>
      <c r="G1257" t="s">
        <v>24</v>
      </c>
      <c r="H1257">
        <f>28162*(1.01^10)</f>
        <v>31108.368295830347</v>
      </c>
      <c r="I1257">
        <f>174156*(1.01^10)</f>
        <v>192376.57087311379</v>
      </c>
      <c r="J1257" t="s">
        <v>4439</v>
      </c>
      <c r="K1257">
        <f t="shared" si="19"/>
        <v>1550.3932734023065</v>
      </c>
    </row>
    <row r="1258" spans="1:11" x14ac:dyDescent="0.2">
      <c r="A1258" t="s">
        <v>405</v>
      </c>
      <c r="B1258" t="s">
        <v>848</v>
      </c>
      <c r="C1258" t="s">
        <v>4440</v>
      </c>
      <c r="D1258" t="s">
        <v>4441</v>
      </c>
      <c r="E1258" t="s">
        <v>185</v>
      </c>
      <c r="F1258" t="s">
        <v>108</v>
      </c>
      <c r="G1258" t="s">
        <v>12</v>
      </c>
      <c r="H1258">
        <f>18476*(1.01^10)</f>
        <v>20408.998389097418</v>
      </c>
      <c r="I1258">
        <f>119660*(1.01^10)</f>
        <v>132179.08352670475</v>
      </c>
      <c r="J1258" t="s">
        <v>4442</v>
      </c>
      <c r="K1258">
        <f t="shared" si="19"/>
        <v>1056.3320837703889</v>
      </c>
    </row>
    <row r="1259" spans="1:11" x14ac:dyDescent="0.2">
      <c r="A1259" t="s">
        <v>405</v>
      </c>
      <c r="B1259" t="s">
        <v>848</v>
      </c>
      <c r="C1259" t="s">
        <v>4443</v>
      </c>
      <c r="D1259" t="s">
        <v>4444</v>
      </c>
      <c r="E1259" t="s">
        <v>287</v>
      </c>
      <c r="F1259" t="s">
        <v>411</v>
      </c>
      <c r="G1259" t="s">
        <v>17</v>
      </c>
      <c r="H1259">
        <f>69301*(1.01^10)</f>
        <v>76551.417913121899</v>
      </c>
      <c r="I1259">
        <f>442639*(1.01^10)</f>
        <v>488948.83296989027</v>
      </c>
      <c r="J1259" t="s">
        <v>4445</v>
      </c>
      <c r="K1259">
        <f t="shared" si="19"/>
        <v>2638.7345827845925</v>
      </c>
    </row>
    <row r="1260" spans="1:11" x14ac:dyDescent="0.2">
      <c r="A1260" t="s">
        <v>405</v>
      </c>
      <c r="B1260" t="s">
        <v>848</v>
      </c>
      <c r="C1260" t="s">
        <v>4446</v>
      </c>
      <c r="D1260" t="s">
        <v>4447</v>
      </c>
      <c r="E1260" t="s">
        <v>612</v>
      </c>
      <c r="F1260" t="s">
        <v>24</v>
      </c>
      <c r="G1260" t="s">
        <v>24</v>
      </c>
      <c r="H1260">
        <f>19473*(1.01^10)</f>
        <v>21510.306648132391</v>
      </c>
      <c r="I1260">
        <f>124028*(1.01^10)</f>
        <v>137004.07297050091</v>
      </c>
      <c r="J1260" t="s">
        <v>4448</v>
      </c>
      <c r="K1260">
        <f t="shared" si="19"/>
        <v>2475.7522388702596</v>
      </c>
    </row>
    <row r="1261" spans="1:11" x14ac:dyDescent="0.2">
      <c r="A1261" t="s">
        <v>405</v>
      </c>
      <c r="B1261" t="s">
        <v>848</v>
      </c>
      <c r="C1261" t="s">
        <v>4449</v>
      </c>
      <c r="D1261" t="s">
        <v>4450</v>
      </c>
      <c r="E1261" t="s">
        <v>1002</v>
      </c>
      <c r="F1261" t="s">
        <v>12</v>
      </c>
      <c r="G1261" t="s">
        <v>12</v>
      </c>
      <c r="H1261">
        <f>41551*(1.01^10)</f>
        <v>45898.153932960966</v>
      </c>
      <c r="I1261">
        <f>265123*(1.01^10)</f>
        <v>292860.73175539484</v>
      </c>
      <c r="J1261" t="s">
        <v>4451</v>
      </c>
      <c r="K1261">
        <f t="shared" si="19"/>
        <v>1954.1427984681588</v>
      </c>
    </row>
    <row r="1262" spans="1:11" x14ac:dyDescent="0.2">
      <c r="A1262" t="s">
        <v>405</v>
      </c>
      <c r="B1262" t="s">
        <v>848</v>
      </c>
      <c r="C1262" t="s">
        <v>4452</v>
      </c>
      <c r="D1262" t="s">
        <v>4453</v>
      </c>
      <c r="E1262" t="s">
        <v>4</v>
      </c>
      <c r="F1262" t="s">
        <v>24</v>
      </c>
      <c r="G1262" t="s">
        <v>24</v>
      </c>
      <c r="H1262">
        <f>32171*(1.01^10)</f>
        <v>35536.798396603866</v>
      </c>
      <c r="I1262">
        <f>200395*(1.01^10)</f>
        <v>221360.75082177838</v>
      </c>
      <c r="J1262" t="s">
        <v>4454</v>
      </c>
      <c r="K1262">
        <f t="shared" si="19"/>
        <v>1704.6682229537287</v>
      </c>
    </row>
    <row r="1263" spans="1:11" x14ac:dyDescent="0.2">
      <c r="A1263" t="s">
        <v>405</v>
      </c>
      <c r="B1263" t="s">
        <v>848</v>
      </c>
      <c r="C1263" t="s">
        <v>4455</v>
      </c>
      <c r="D1263" t="s">
        <v>4456</v>
      </c>
      <c r="E1263" t="s">
        <v>16</v>
      </c>
      <c r="F1263" t="s">
        <v>17</v>
      </c>
      <c r="G1263" t="s">
        <v>24</v>
      </c>
      <c r="H1263">
        <f>14398*(1.01^10)</f>
        <v>15904.349361670525</v>
      </c>
      <c r="I1263">
        <f>84695*(1.01^10)</f>
        <v>93555.970911701981</v>
      </c>
      <c r="J1263" t="s">
        <v>4457</v>
      </c>
      <c r="K1263">
        <f t="shared" si="19"/>
        <v>1181.239088263389</v>
      </c>
    </row>
    <row r="1264" spans="1:11" x14ac:dyDescent="0.2">
      <c r="A1264" t="s">
        <v>405</v>
      </c>
      <c r="B1264" t="s">
        <v>848</v>
      </c>
      <c r="C1264" t="s">
        <v>4458</v>
      </c>
      <c r="D1264" t="s">
        <v>4459</v>
      </c>
      <c r="E1264" t="s">
        <v>879</v>
      </c>
      <c r="F1264" t="s">
        <v>92</v>
      </c>
      <c r="G1264" t="s">
        <v>24</v>
      </c>
      <c r="H1264">
        <f>24328*(1.01^10)</f>
        <v>26873.247067003787</v>
      </c>
      <c r="I1264">
        <f>155838*(1.01^10)</f>
        <v>172142.10277983133</v>
      </c>
      <c r="J1264" t="s">
        <v>4460</v>
      </c>
      <c r="K1264">
        <f t="shared" si="19"/>
        <v>1663.7653074657478</v>
      </c>
    </row>
    <row r="1265" spans="1:11" x14ac:dyDescent="0.2">
      <c r="A1265" t="s">
        <v>405</v>
      </c>
      <c r="B1265" t="s">
        <v>848</v>
      </c>
      <c r="C1265" t="s">
        <v>4461</v>
      </c>
      <c r="D1265" t="s">
        <v>4462</v>
      </c>
      <c r="E1265" t="s">
        <v>453</v>
      </c>
      <c r="F1265" t="s">
        <v>674</v>
      </c>
      <c r="G1265" t="s">
        <v>24</v>
      </c>
      <c r="H1265">
        <f>46687*(1.01^10)</f>
        <v>51571.493169072914</v>
      </c>
      <c r="I1265">
        <f>296164*(1.01^10)</f>
        <v>327149.30715028406</v>
      </c>
      <c r="J1265" t="s">
        <v>4463</v>
      </c>
      <c r="K1265">
        <f t="shared" si="19"/>
        <v>1530.9520562783741</v>
      </c>
    </row>
    <row r="1266" spans="1:11" x14ac:dyDescent="0.2">
      <c r="A1266" t="s">
        <v>405</v>
      </c>
      <c r="B1266" t="s">
        <v>848</v>
      </c>
      <c r="C1266" t="s">
        <v>4464</v>
      </c>
      <c r="D1266" t="s">
        <v>4465</v>
      </c>
      <c r="E1266" t="s">
        <v>1223</v>
      </c>
      <c r="F1266" t="s">
        <v>318</v>
      </c>
      <c r="G1266" t="s">
        <v>24</v>
      </c>
      <c r="H1266">
        <f>41325*(1.01^10)</f>
        <v>45648.509332618036</v>
      </c>
      <c r="I1266">
        <f>268156*(1.01^10)</f>
        <v>296211.05066176702</v>
      </c>
      <c r="J1266" t="s">
        <v>4466</v>
      </c>
      <c r="K1266">
        <f t="shared" si="19"/>
        <v>1743.8845696202845</v>
      </c>
    </row>
    <row r="1267" spans="1:11" x14ac:dyDescent="0.2">
      <c r="A1267" t="s">
        <v>405</v>
      </c>
      <c r="B1267" t="s">
        <v>848</v>
      </c>
      <c r="C1267" t="s">
        <v>4467</v>
      </c>
      <c r="D1267" t="s">
        <v>4468</v>
      </c>
      <c r="E1267" t="s">
        <v>520</v>
      </c>
      <c r="F1267" t="s">
        <v>382</v>
      </c>
      <c r="G1267" t="s">
        <v>12</v>
      </c>
      <c r="H1267">
        <f>20662*(1.01^10)</f>
        <v>22823.702355246314</v>
      </c>
      <c r="I1267">
        <f>129552*(1.01^10)</f>
        <v>143106.00559127241</v>
      </c>
      <c r="J1267" t="s">
        <v>4469</v>
      </c>
      <c r="K1267">
        <f t="shared" si="19"/>
        <v>1441.2248659588927</v>
      </c>
    </row>
    <row r="1268" spans="1:11" x14ac:dyDescent="0.2">
      <c r="A1268" t="s">
        <v>405</v>
      </c>
      <c r="B1268" t="s">
        <v>848</v>
      </c>
      <c r="C1268" t="s">
        <v>4470</v>
      </c>
      <c r="D1268" t="s">
        <v>4471</v>
      </c>
      <c r="E1268" t="s">
        <v>1106</v>
      </c>
      <c r="F1268" t="s">
        <v>77</v>
      </c>
      <c r="G1268" t="s">
        <v>12</v>
      </c>
      <c r="H1268">
        <f>43855*(1.01^10)</f>
        <v>48443.203309908386</v>
      </c>
      <c r="I1268">
        <f>270116*(1.01^10)</f>
        <v>298376.11002757296</v>
      </c>
      <c r="J1268" t="s">
        <v>4472</v>
      </c>
      <c r="K1268">
        <f t="shared" si="19"/>
        <v>1384.9843826689103</v>
      </c>
    </row>
    <row r="1269" spans="1:11" x14ac:dyDescent="0.2">
      <c r="A1269" t="s">
        <v>405</v>
      </c>
      <c r="B1269" t="s">
        <v>1258</v>
      </c>
      <c r="C1269" t="s">
        <v>4473</v>
      </c>
      <c r="D1269" t="s">
        <v>4474</v>
      </c>
      <c r="E1269" t="s">
        <v>1215</v>
      </c>
      <c r="F1269" t="s">
        <v>11</v>
      </c>
      <c r="G1269" t="s">
        <v>24</v>
      </c>
      <c r="H1269">
        <f>34704*(1.01^10)</f>
        <v>38334.806240270453</v>
      </c>
      <c r="I1269">
        <f>187486*(1.01^10)</f>
        <v>207101.18380484515</v>
      </c>
      <c r="J1269" t="s">
        <v>4475</v>
      </c>
      <c r="K1269">
        <f t="shared" si="19"/>
        <v>1365.1034193949254</v>
      </c>
    </row>
    <row r="1270" spans="1:11" x14ac:dyDescent="0.2">
      <c r="A1270" t="s">
        <v>405</v>
      </c>
      <c r="B1270" t="s">
        <v>1258</v>
      </c>
      <c r="C1270" t="s">
        <v>4476</v>
      </c>
      <c r="D1270" t="s">
        <v>4477</v>
      </c>
      <c r="E1270" t="s">
        <v>2795</v>
      </c>
      <c r="F1270" t="s">
        <v>24</v>
      </c>
      <c r="G1270" t="s">
        <v>24</v>
      </c>
      <c r="H1270">
        <f>18450*(1.01^10)</f>
        <v>20380.278213836729</v>
      </c>
      <c r="I1270">
        <f>95669*(1.01^10)</f>
        <v>105678.09411596454</v>
      </c>
      <c r="J1270" t="s">
        <v>4478</v>
      </c>
      <c r="K1270">
        <f t="shared" si="19"/>
        <v>1383.3543077806785</v>
      </c>
    </row>
    <row r="1271" spans="1:11" x14ac:dyDescent="0.2">
      <c r="A1271" t="s">
        <v>405</v>
      </c>
      <c r="B1271" t="s">
        <v>1258</v>
      </c>
      <c r="C1271" t="s">
        <v>4479</v>
      </c>
      <c r="D1271" t="s">
        <v>3558</v>
      </c>
      <c r="E1271" t="s">
        <v>287</v>
      </c>
      <c r="F1271" t="s">
        <v>158</v>
      </c>
      <c r="G1271" t="s">
        <v>12</v>
      </c>
      <c r="H1271">
        <f>48019*(1.01^10)</f>
        <v>53042.849840120638</v>
      </c>
      <c r="I1271">
        <f>265384*(1.01^10)</f>
        <v>293149.03813012718</v>
      </c>
      <c r="J1271" t="s">
        <v>4480</v>
      </c>
      <c r="K1271">
        <f t="shared" si="19"/>
        <v>2136.6150645456401</v>
      </c>
    </row>
    <row r="1272" spans="1:11" x14ac:dyDescent="0.2">
      <c r="A1272" t="s">
        <v>405</v>
      </c>
      <c r="B1272" t="s">
        <v>1258</v>
      </c>
      <c r="C1272" t="s">
        <v>4481</v>
      </c>
      <c r="D1272" t="s">
        <v>4482</v>
      </c>
      <c r="E1272" t="s">
        <v>1223</v>
      </c>
      <c r="F1272" t="s">
        <v>158</v>
      </c>
      <c r="G1272" t="s">
        <v>24</v>
      </c>
      <c r="H1272">
        <f>38172*(1.01^10)</f>
        <v>42165.63577119651</v>
      </c>
      <c r="I1272">
        <f>207762*(1.01^10)</f>
        <v>229498.50201968272</v>
      </c>
      <c r="J1272" t="s">
        <v>4483</v>
      </c>
      <c r="K1272">
        <f t="shared" si="19"/>
        <v>1962.5375629311984</v>
      </c>
    </row>
    <row r="1273" spans="1:11" x14ac:dyDescent="0.2">
      <c r="A1273" t="s">
        <v>405</v>
      </c>
      <c r="B1273" t="s">
        <v>1258</v>
      </c>
      <c r="C1273" t="s">
        <v>4484</v>
      </c>
      <c r="D1273" t="s">
        <v>4485</v>
      </c>
      <c r="E1273" t="s">
        <v>484</v>
      </c>
      <c r="F1273" t="s">
        <v>12</v>
      </c>
      <c r="G1273" t="s">
        <v>24</v>
      </c>
      <c r="H1273">
        <f>33266*(1.01^10)</f>
        <v>36746.359623929136</v>
      </c>
      <c r="I1273">
        <f>177586*(1.01^10)</f>
        <v>196165.4247632742</v>
      </c>
      <c r="J1273" t="s">
        <v>4486</v>
      </c>
      <c r="K1273">
        <f t="shared" si="19"/>
        <v>1895.0218336392365</v>
      </c>
    </row>
    <row r="1274" spans="1:11" x14ac:dyDescent="0.2">
      <c r="A1274" t="s">
        <v>405</v>
      </c>
      <c r="B1274" t="s">
        <v>1258</v>
      </c>
      <c r="C1274" t="s">
        <v>4487</v>
      </c>
      <c r="D1274" t="s">
        <v>4488</v>
      </c>
      <c r="E1274" t="s">
        <v>23</v>
      </c>
      <c r="F1274" t="s">
        <v>5</v>
      </c>
      <c r="G1274" t="s">
        <v>24</v>
      </c>
      <c r="H1274">
        <f>22366*(1.01^10)</f>
        <v>24705.978456947007</v>
      </c>
      <c r="I1274">
        <f>131004*(1.01^10)</f>
        <v>144709.91691736947</v>
      </c>
      <c r="J1274" t="s">
        <v>4489</v>
      </c>
      <c r="K1274">
        <f t="shared" si="19"/>
        <v>2081.199268454347</v>
      </c>
    </row>
    <row r="1275" spans="1:11" x14ac:dyDescent="0.2">
      <c r="A1275" t="s">
        <v>405</v>
      </c>
      <c r="B1275" t="s">
        <v>1258</v>
      </c>
      <c r="C1275" t="s">
        <v>4490</v>
      </c>
      <c r="D1275" t="s">
        <v>4491</v>
      </c>
      <c r="E1275" t="s">
        <v>2777</v>
      </c>
      <c r="F1275" t="s">
        <v>92</v>
      </c>
      <c r="G1275" t="s">
        <v>24</v>
      </c>
      <c r="H1275">
        <f>69796*(1.01^10)</f>
        <v>77098.205865200449</v>
      </c>
      <c r="I1275">
        <f>370182*(1.01^10)</f>
        <v>408911.22762897058</v>
      </c>
      <c r="J1275" t="s">
        <v>4492</v>
      </c>
      <c r="K1275">
        <f t="shared" si="19"/>
        <v>1560.2068746154519</v>
      </c>
    </row>
    <row r="1276" spans="1:11" x14ac:dyDescent="0.2">
      <c r="A1276" t="s">
        <v>405</v>
      </c>
      <c r="B1276" t="s">
        <v>1258</v>
      </c>
      <c r="C1276" t="s">
        <v>4493</v>
      </c>
      <c r="D1276" t="s">
        <v>4494</v>
      </c>
      <c r="E1276" t="s">
        <v>555</v>
      </c>
      <c r="F1276" t="s">
        <v>152</v>
      </c>
      <c r="G1276" t="s">
        <v>24</v>
      </c>
      <c r="H1276">
        <f>50323*(1.01^10)</f>
        <v>55587.899217068058</v>
      </c>
      <c r="I1276">
        <f>284526*(1.01^10)</f>
        <v>314293.71485474845</v>
      </c>
      <c r="J1276" t="s">
        <v>4495</v>
      </c>
      <c r="K1276">
        <f t="shared" si="19"/>
        <v>2308.2649337873831</v>
      </c>
    </row>
    <row r="1277" spans="1:11" x14ac:dyDescent="0.2">
      <c r="A1277" t="s">
        <v>405</v>
      </c>
      <c r="B1277" t="s">
        <v>1258</v>
      </c>
      <c r="C1277" t="s">
        <v>4496</v>
      </c>
      <c r="D1277" t="s">
        <v>4497</v>
      </c>
      <c r="E1277" t="s">
        <v>4</v>
      </c>
      <c r="F1277" t="s">
        <v>158</v>
      </c>
      <c r="G1277" t="s">
        <v>24</v>
      </c>
      <c r="H1277">
        <f>50682*(1.01^10)</f>
        <v>55984.458560090679</v>
      </c>
      <c r="I1277">
        <f>276217*(1.01^10)</f>
        <v>305115.40961470676</v>
      </c>
      <c r="J1277" t="s">
        <v>4498</v>
      </c>
      <c r="K1277">
        <f t="shared" si="19"/>
        <v>2139.5694485809076</v>
      </c>
    </row>
    <row r="1278" spans="1:11" x14ac:dyDescent="0.2">
      <c r="A1278" t="s">
        <v>405</v>
      </c>
      <c r="B1278" t="s">
        <v>1258</v>
      </c>
      <c r="C1278" t="s">
        <v>4499</v>
      </c>
      <c r="D1278" t="s">
        <v>4500</v>
      </c>
      <c r="E1278" t="s">
        <v>121</v>
      </c>
      <c r="F1278" t="s">
        <v>5</v>
      </c>
      <c r="G1278" t="s">
        <v>24</v>
      </c>
      <c r="H1278">
        <f>28516*(1.01^10)</f>
        <v>31499.404528225914</v>
      </c>
      <c r="I1278">
        <f>158130*(1.01^10)</f>
        <v>174673.89669127381</v>
      </c>
      <c r="J1278" t="s">
        <v>4501</v>
      </c>
      <c r="K1278">
        <f t="shared" si="19"/>
        <v>2177.0968849427272</v>
      </c>
    </row>
    <row r="1279" spans="1:11" x14ac:dyDescent="0.2">
      <c r="A1279" t="s">
        <v>405</v>
      </c>
      <c r="B1279" t="s">
        <v>1258</v>
      </c>
      <c r="C1279" t="s">
        <v>4502</v>
      </c>
      <c r="D1279" t="s">
        <v>4503</v>
      </c>
      <c r="E1279" t="s">
        <v>631</v>
      </c>
      <c r="F1279" t="s">
        <v>97</v>
      </c>
      <c r="G1279" t="s">
        <v>12</v>
      </c>
      <c r="H1279">
        <f>74900*(1.01^10)</f>
        <v>82736.197193299231</v>
      </c>
      <c r="I1279">
        <f>443976*(1.01^10)</f>
        <v>490425.71275156504</v>
      </c>
      <c r="J1279" t="s">
        <v>4504</v>
      </c>
      <c r="K1279">
        <f t="shared" si="19"/>
        <v>2942.1877075691123</v>
      </c>
    </row>
    <row r="1280" spans="1:11" x14ac:dyDescent="0.2">
      <c r="A1280" t="s">
        <v>405</v>
      </c>
      <c r="B1280" t="s">
        <v>1258</v>
      </c>
      <c r="C1280" t="s">
        <v>4505</v>
      </c>
      <c r="D1280" t="s">
        <v>3983</v>
      </c>
      <c r="E1280" t="s">
        <v>619</v>
      </c>
      <c r="F1280" t="s">
        <v>445</v>
      </c>
      <c r="G1280" t="s">
        <v>24</v>
      </c>
      <c r="H1280">
        <f>40183*(1.01^10)</f>
        <v>44387.030865398439</v>
      </c>
      <c r="I1280">
        <f>232909*(1.01^10)</f>
        <v>257276.43460739829</v>
      </c>
      <c r="J1280" t="s">
        <v>4506</v>
      </c>
      <c r="K1280">
        <f t="shared" si="19"/>
        <v>1085.9145409532646</v>
      </c>
    </row>
    <row r="1281" spans="1:11" x14ac:dyDescent="0.2">
      <c r="A1281" t="s">
        <v>405</v>
      </c>
      <c r="B1281" t="s">
        <v>1258</v>
      </c>
      <c r="C1281" t="s">
        <v>4507</v>
      </c>
      <c r="D1281" t="s">
        <v>4508</v>
      </c>
      <c r="E1281" t="s">
        <v>315</v>
      </c>
      <c r="F1281" t="s">
        <v>411</v>
      </c>
      <c r="G1281" t="s">
        <v>24</v>
      </c>
      <c r="H1281">
        <f>45287*(1.01^10)</f>
        <v>50025.022193497229</v>
      </c>
      <c r="I1281">
        <f>268849*(1.01^10)</f>
        <v>296976.55379467696</v>
      </c>
      <c r="J1281" t="s">
        <v>4509</v>
      </c>
      <c r="K1281">
        <f t="shared" si="19"/>
        <v>2668.1994335457589</v>
      </c>
    </row>
    <row r="1282" spans="1:11" x14ac:dyDescent="0.2">
      <c r="A1282" t="s">
        <v>405</v>
      </c>
      <c r="B1282" t="s">
        <v>1258</v>
      </c>
      <c r="C1282" t="s">
        <v>4510</v>
      </c>
      <c r="D1282" t="s">
        <v>4511</v>
      </c>
      <c r="E1282" t="s">
        <v>47</v>
      </c>
      <c r="F1282" t="s">
        <v>158</v>
      </c>
      <c r="G1282" t="s">
        <v>24</v>
      </c>
      <c r="H1282">
        <f>15450*(1.01^10)</f>
        <v>17066.411837603115</v>
      </c>
      <c r="I1282">
        <f>87606*(1.01^10)</f>
        <v>96771.525918774001</v>
      </c>
      <c r="J1282" t="s">
        <v>4512</v>
      </c>
      <c r="K1282">
        <f t="shared" si="19"/>
        <v>1628.4062971983722</v>
      </c>
    </row>
    <row r="1283" spans="1:11" x14ac:dyDescent="0.2">
      <c r="A1283" t="s">
        <v>405</v>
      </c>
      <c r="B1283" t="s">
        <v>1258</v>
      </c>
      <c r="C1283" t="s">
        <v>4513</v>
      </c>
      <c r="D1283" t="s">
        <v>4514</v>
      </c>
      <c r="E1283" t="s">
        <v>23</v>
      </c>
      <c r="F1283" t="s">
        <v>411</v>
      </c>
      <c r="G1283" t="s">
        <v>24</v>
      </c>
      <c r="H1283">
        <f>23958*(1.01^10)</f>
        <v>26464.536880601645</v>
      </c>
      <c r="I1283">
        <f>127396*(1.01^10)</f>
        <v>140724.44028888585</v>
      </c>
      <c r="J1283" t="s">
        <v>4515</v>
      </c>
      <c r="K1283">
        <f t="shared" ref="K1283:K1346" si="20">I1283/J1283</f>
        <v>1582.1702792975791</v>
      </c>
    </row>
    <row r="1284" spans="1:11" x14ac:dyDescent="0.2">
      <c r="A1284" t="s">
        <v>405</v>
      </c>
      <c r="B1284" t="s">
        <v>1258</v>
      </c>
      <c r="C1284" t="s">
        <v>4516</v>
      </c>
      <c r="D1284" t="s">
        <v>4517</v>
      </c>
      <c r="E1284" t="s">
        <v>23</v>
      </c>
      <c r="F1284" t="s">
        <v>458</v>
      </c>
      <c r="G1284" t="s">
        <v>12</v>
      </c>
      <c r="H1284">
        <f>32015*(1.01^10)</f>
        <v>35364.477345039719</v>
      </c>
      <c r="I1284">
        <f>180339*(1.01^10)</f>
        <v>199206.44947453125</v>
      </c>
      <c r="J1284" t="s">
        <v>4518</v>
      </c>
      <c r="K1284">
        <f t="shared" si="20"/>
        <v>2067.8207192285499</v>
      </c>
    </row>
    <row r="1285" spans="1:11" x14ac:dyDescent="0.2">
      <c r="A1285" t="s">
        <v>405</v>
      </c>
      <c r="B1285" t="s">
        <v>667</v>
      </c>
      <c r="C1285" t="s">
        <v>4519</v>
      </c>
      <c r="D1285" t="s">
        <v>3810</v>
      </c>
      <c r="E1285" t="s">
        <v>1576</v>
      </c>
      <c r="F1285" t="s">
        <v>796</v>
      </c>
      <c r="G1285" t="s">
        <v>12</v>
      </c>
      <c r="H1285">
        <f>62701*(1.01^10)</f>
        <v>69260.911885407942</v>
      </c>
      <c r="I1285">
        <f>310439*(1.01^10)</f>
        <v>342917.78799052897</v>
      </c>
      <c r="J1285" t="s">
        <v>4520</v>
      </c>
      <c r="K1285">
        <f t="shared" si="20"/>
        <v>1392.129326691484</v>
      </c>
    </row>
    <row r="1286" spans="1:11" x14ac:dyDescent="0.2">
      <c r="A1286" t="s">
        <v>405</v>
      </c>
      <c r="B1286" t="s">
        <v>667</v>
      </c>
      <c r="C1286" t="s">
        <v>4521</v>
      </c>
      <c r="D1286" t="s">
        <v>4522</v>
      </c>
      <c r="E1286" t="s">
        <v>121</v>
      </c>
      <c r="F1286" t="s">
        <v>6</v>
      </c>
      <c r="G1286" t="s">
        <v>12</v>
      </c>
      <c r="H1286">
        <f>44763*(1.01^10)</f>
        <v>49446.200199781757</v>
      </c>
      <c r="I1286">
        <f>216123*(1.01^10)</f>
        <v>238734.2476102458</v>
      </c>
      <c r="J1286" t="s">
        <v>4523</v>
      </c>
      <c r="K1286">
        <f t="shared" si="20"/>
        <v>1756.9577957233109</v>
      </c>
    </row>
    <row r="1287" spans="1:11" x14ac:dyDescent="0.2">
      <c r="A1287" t="s">
        <v>405</v>
      </c>
      <c r="B1287" t="s">
        <v>667</v>
      </c>
      <c r="C1287" t="s">
        <v>4524</v>
      </c>
      <c r="D1287" t="s">
        <v>4525</v>
      </c>
      <c r="E1287" t="s">
        <v>121</v>
      </c>
      <c r="F1287" t="s">
        <v>11</v>
      </c>
      <c r="G1287" t="s">
        <v>24</v>
      </c>
      <c r="H1287">
        <f>38442*(1.01^10)</f>
        <v>42463.88374505753</v>
      </c>
      <c r="I1287">
        <f>193850*(1.01^10)</f>
        <v>214130.99901096203</v>
      </c>
      <c r="J1287" t="s">
        <v>4526</v>
      </c>
      <c r="K1287">
        <f t="shared" si="20"/>
        <v>1578.2332633775659</v>
      </c>
    </row>
    <row r="1288" spans="1:11" x14ac:dyDescent="0.2">
      <c r="A1288" t="s">
        <v>405</v>
      </c>
      <c r="B1288" t="s">
        <v>667</v>
      </c>
      <c r="C1288" t="s">
        <v>4527</v>
      </c>
      <c r="D1288" t="s">
        <v>2609</v>
      </c>
      <c r="E1288" t="s">
        <v>3122</v>
      </c>
      <c r="F1288" t="s">
        <v>152</v>
      </c>
      <c r="G1288" t="s">
        <v>24</v>
      </c>
      <c r="H1288">
        <f>40053*(1.01^10)</f>
        <v>44243.429989094984</v>
      </c>
      <c r="I1288">
        <f>195729*(1.01^10)</f>
        <v>216206.58398460969</v>
      </c>
      <c r="J1288" t="s">
        <v>4528</v>
      </c>
      <c r="K1288">
        <f t="shared" si="20"/>
        <v>1514.1359386122799</v>
      </c>
    </row>
    <row r="1289" spans="1:11" x14ac:dyDescent="0.2">
      <c r="A1289" t="s">
        <v>405</v>
      </c>
      <c r="B1289" t="s">
        <v>667</v>
      </c>
      <c r="C1289" t="s">
        <v>4529</v>
      </c>
      <c r="D1289" t="s">
        <v>4530</v>
      </c>
      <c r="E1289" t="s">
        <v>337</v>
      </c>
      <c r="F1289" t="s">
        <v>6</v>
      </c>
      <c r="G1289" t="s">
        <v>11</v>
      </c>
      <c r="H1289">
        <f>67323*(1.01^10)</f>
        <v>74366.475349058543</v>
      </c>
      <c r="I1289">
        <f>346109*(1.01^10)</f>
        <v>382319.65920394665</v>
      </c>
      <c r="J1289" t="s">
        <v>4531</v>
      </c>
      <c r="K1289">
        <f t="shared" si="20"/>
        <v>2175.0395572362945</v>
      </c>
    </row>
    <row r="1290" spans="1:11" x14ac:dyDescent="0.2">
      <c r="A1290" t="s">
        <v>405</v>
      </c>
      <c r="B1290" t="s">
        <v>667</v>
      </c>
      <c r="C1290" t="s">
        <v>4532</v>
      </c>
      <c r="D1290" t="s">
        <v>4533</v>
      </c>
      <c r="E1290" t="s">
        <v>47</v>
      </c>
      <c r="F1290" t="s">
        <v>24</v>
      </c>
      <c r="G1290" t="s">
        <v>24</v>
      </c>
      <c r="H1290">
        <f>26910*(1.01^10)</f>
        <v>29725.381394815518</v>
      </c>
      <c r="I1290">
        <f>132932*(1.01^10)</f>
        <v>146839.62837516228</v>
      </c>
      <c r="J1290" t="s">
        <v>4534</v>
      </c>
      <c r="K1290">
        <f t="shared" si="20"/>
        <v>1737.3102798829639</v>
      </c>
    </row>
    <row r="1291" spans="1:11" x14ac:dyDescent="0.2">
      <c r="A1291" t="s">
        <v>405</v>
      </c>
      <c r="B1291" t="s">
        <v>667</v>
      </c>
      <c r="C1291" t="s">
        <v>4535</v>
      </c>
      <c r="D1291" t="s">
        <v>4536</v>
      </c>
      <c r="E1291" t="s">
        <v>264</v>
      </c>
      <c r="F1291" t="s">
        <v>152</v>
      </c>
      <c r="G1291" t="s">
        <v>24</v>
      </c>
      <c r="H1291">
        <f>30523*(1.01^10)</f>
        <v>33716.381133926203</v>
      </c>
      <c r="I1291">
        <f>161626*(1.01^10)</f>
        <v>178535.65564171138</v>
      </c>
      <c r="J1291" t="s">
        <v>4537</v>
      </c>
      <c r="K1291">
        <f t="shared" si="20"/>
        <v>3237.5698412457718</v>
      </c>
    </row>
    <row r="1292" spans="1:11" x14ac:dyDescent="0.2">
      <c r="A1292" t="s">
        <v>405</v>
      </c>
      <c r="B1292" t="s">
        <v>667</v>
      </c>
      <c r="C1292" t="s">
        <v>4538</v>
      </c>
      <c r="D1292" t="s">
        <v>4539</v>
      </c>
      <c r="E1292" t="s">
        <v>51</v>
      </c>
      <c r="F1292" t="s">
        <v>12</v>
      </c>
      <c r="G1292" t="s">
        <v>24</v>
      </c>
      <c r="H1292">
        <f>36747*(1.01^10)</f>
        <v>40591.54924248554</v>
      </c>
      <c r="I1292">
        <f>186075*(1.01^10)</f>
        <v>205542.56198588992</v>
      </c>
      <c r="J1292" t="s">
        <v>4540</v>
      </c>
      <c r="K1292">
        <f t="shared" si="20"/>
        <v>1420.6162426266767</v>
      </c>
    </row>
    <row r="1293" spans="1:11" x14ac:dyDescent="0.2">
      <c r="A1293" t="s">
        <v>405</v>
      </c>
      <c r="B1293" t="s">
        <v>667</v>
      </c>
      <c r="C1293" t="s">
        <v>4541</v>
      </c>
      <c r="D1293" t="s">
        <v>4542</v>
      </c>
      <c r="E1293" t="s">
        <v>23</v>
      </c>
      <c r="F1293" t="s">
        <v>158</v>
      </c>
      <c r="G1293" t="s">
        <v>24</v>
      </c>
      <c r="H1293">
        <f>32606*(1.01^10)</f>
        <v>36017.309021157744</v>
      </c>
      <c r="I1293">
        <f>179956*(1.01^10)</f>
        <v>198783.37920049875</v>
      </c>
      <c r="J1293" t="s">
        <v>4543</v>
      </c>
      <c r="K1293">
        <f t="shared" si="20"/>
        <v>1649.2417549338959</v>
      </c>
    </row>
    <row r="1294" spans="1:11" x14ac:dyDescent="0.2">
      <c r="A1294" t="s">
        <v>405</v>
      </c>
      <c r="B1294" t="s">
        <v>667</v>
      </c>
      <c r="C1294" t="s">
        <v>4544</v>
      </c>
      <c r="D1294" t="s">
        <v>4545</v>
      </c>
      <c r="E1294" t="s">
        <v>356</v>
      </c>
      <c r="F1294" t="s">
        <v>318</v>
      </c>
      <c r="G1294" t="s">
        <v>24</v>
      </c>
      <c r="H1294">
        <f>21114*(1.01^10)</f>
        <v>23322.991555932178</v>
      </c>
      <c r="I1294">
        <f>115032*(1.01^10)</f>
        <v>127066.89233030171</v>
      </c>
      <c r="J1294" t="s">
        <v>4546</v>
      </c>
      <c r="K1294">
        <f t="shared" si="20"/>
        <v>933.98995611682312</v>
      </c>
    </row>
    <row r="1295" spans="1:11" x14ac:dyDescent="0.2">
      <c r="A1295" t="s">
        <v>405</v>
      </c>
      <c r="B1295" t="s">
        <v>667</v>
      </c>
      <c r="C1295" t="s">
        <v>4547</v>
      </c>
      <c r="D1295" t="s">
        <v>4548</v>
      </c>
      <c r="E1295" t="s">
        <v>674</v>
      </c>
      <c r="F1295" t="s">
        <v>5</v>
      </c>
      <c r="G1295" t="s">
        <v>24</v>
      </c>
      <c r="H1295">
        <f>35885*(1.01^10)</f>
        <v>39639.364970381081</v>
      </c>
      <c r="I1295">
        <f>184521*(1.01^10)</f>
        <v>203825.9792030009</v>
      </c>
      <c r="J1295" t="s">
        <v>4549</v>
      </c>
      <c r="K1295">
        <f t="shared" si="20"/>
        <v>1310.4245061312008</v>
      </c>
    </row>
    <row r="1296" spans="1:11" x14ac:dyDescent="0.2">
      <c r="A1296" t="s">
        <v>405</v>
      </c>
      <c r="B1296" t="s">
        <v>667</v>
      </c>
      <c r="C1296" t="s">
        <v>4550</v>
      </c>
      <c r="D1296" t="s">
        <v>4551</v>
      </c>
      <c r="E1296" t="s">
        <v>3122</v>
      </c>
      <c r="F1296" t="s">
        <v>158</v>
      </c>
      <c r="G1296" t="s">
        <v>24</v>
      </c>
      <c r="H1296">
        <f>50355*(1.01^10)</f>
        <v>55623.247125081216</v>
      </c>
      <c r="I1296">
        <f>254835*(1.01^10)</f>
        <v>281496.37932916434</v>
      </c>
      <c r="J1296" t="s">
        <v>4552</v>
      </c>
      <c r="K1296">
        <f t="shared" si="20"/>
        <v>1638.952816113723</v>
      </c>
    </row>
    <row r="1297" spans="1:11" x14ac:dyDescent="0.2">
      <c r="A1297" t="s">
        <v>405</v>
      </c>
      <c r="B1297" t="s">
        <v>667</v>
      </c>
      <c r="C1297" t="s">
        <v>4553</v>
      </c>
      <c r="D1297" t="s">
        <v>4554</v>
      </c>
      <c r="E1297" t="s">
        <v>1506</v>
      </c>
      <c r="F1297" t="s">
        <v>12</v>
      </c>
      <c r="G1297" t="s">
        <v>24</v>
      </c>
      <c r="H1297">
        <f>29982*(1.01^10)</f>
        <v>33118.780564078741</v>
      </c>
      <c r="I1297">
        <f>152916*(1.01^10)</f>
        <v>168914.39692937979</v>
      </c>
      <c r="J1297" t="s">
        <v>4555</v>
      </c>
      <c r="K1297">
        <f t="shared" si="20"/>
        <v>1846.7132422045327</v>
      </c>
    </row>
    <row r="1298" spans="1:11" x14ac:dyDescent="0.2">
      <c r="A1298" t="s">
        <v>405</v>
      </c>
      <c r="B1298" t="s">
        <v>667</v>
      </c>
      <c r="C1298" t="s">
        <v>4556</v>
      </c>
      <c r="D1298" t="s">
        <v>4557</v>
      </c>
      <c r="E1298" t="s">
        <v>789</v>
      </c>
      <c r="F1298" t="s">
        <v>17</v>
      </c>
      <c r="G1298" t="s">
        <v>12</v>
      </c>
      <c r="H1298">
        <f>39817*(1.01^10)</f>
        <v>43982.739167497937</v>
      </c>
      <c r="I1298">
        <f>208818*(1.01^10)</f>
        <v>230664.98298411694</v>
      </c>
      <c r="J1298" t="s">
        <v>4558</v>
      </c>
      <c r="K1298">
        <f t="shared" si="20"/>
        <v>2097.8353945674071</v>
      </c>
    </row>
    <row r="1299" spans="1:11" x14ac:dyDescent="0.2">
      <c r="A1299" t="s">
        <v>405</v>
      </c>
      <c r="B1299" t="s">
        <v>667</v>
      </c>
      <c r="C1299" t="s">
        <v>4559</v>
      </c>
      <c r="D1299" t="s">
        <v>4560</v>
      </c>
      <c r="E1299" t="s">
        <v>264</v>
      </c>
      <c r="F1299" t="s">
        <v>11</v>
      </c>
      <c r="G1299" t="s">
        <v>24</v>
      </c>
      <c r="H1299">
        <f>57859*(1.01^10)</f>
        <v>63912.331554166893</v>
      </c>
      <c r="I1299">
        <f>297811*(1.01^10)</f>
        <v>328968.6197908363</v>
      </c>
      <c r="J1299" t="s">
        <v>4561</v>
      </c>
      <c r="K1299">
        <f t="shared" si="20"/>
        <v>1834.8005427666865</v>
      </c>
    </row>
    <row r="1300" spans="1:11" x14ac:dyDescent="0.2">
      <c r="A1300" t="s">
        <v>405</v>
      </c>
      <c r="B1300" t="s">
        <v>667</v>
      </c>
      <c r="C1300" t="s">
        <v>4562</v>
      </c>
      <c r="D1300" t="s">
        <v>4563</v>
      </c>
      <c r="E1300" t="s">
        <v>131</v>
      </c>
      <c r="F1300" t="s">
        <v>12</v>
      </c>
      <c r="G1300" t="s">
        <v>24</v>
      </c>
      <c r="H1300">
        <f>66426*(1.01^10)</f>
        <v>73375.629302564688</v>
      </c>
      <c r="I1300">
        <f>338149*(1.01^10)</f>
        <v>373526.8670856735</v>
      </c>
      <c r="J1300" t="s">
        <v>4564</v>
      </c>
      <c r="K1300">
        <f t="shared" si="20"/>
        <v>1614.6546445863069</v>
      </c>
    </row>
    <row r="1301" spans="1:11" x14ac:dyDescent="0.2">
      <c r="A1301" t="s">
        <v>405</v>
      </c>
      <c r="B1301" t="s">
        <v>667</v>
      </c>
      <c r="C1301" t="s">
        <v>4565</v>
      </c>
      <c r="D1301" t="s">
        <v>4566</v>
      </c>
      <c r="E1301" t="s">
        <v>829</v>
      </c>
      <c r="F1301" t="s">
        <v>92</v>
      </c>
      <c r="G1301" t="s">
        <v>12</v>
      </c>
      <c r="H1301">
        <f>40974*(1.01^10)</f>
        <v>45260.786966598702</v>
      </c>
      <c r="I1301">
        <f>200624*(1.01^10)</f>
        <v>221613.70928849754</v>
      </c>
      <c r="J1301" t="s">
        <v>4567</v>
      </c>
      <c r="K1301">
        <f t="shared" si="20"/>
        <v>1792.3413469570978</v>
      </c>
    </row>
    <row r="1302" spans="1:11" x14ac:dyDescent="0.2">
      <c r="A1302" t="s">
        <v>405</v>
      </c>
      <c r="B1302" t="s">
        <v>667</v>
      </c>
      <c r="C1302" t="s">
        <v>4568</v>
      </c>
      <c r="D1302" t="s">
        <v>4569</v>
      </c>
      <c r="E1302" t="s">
        <v>674</v>
      </c>
      <c r="F1302" t="s">
        <v>12</v>
      </c>
      <c r="G1302" t="s">
        <v>24</v>
      </c>
      <c r="H1302">
        <f>41059*(1.01^10)</f>
        <v>45354.679847258652</v>
      </c>
      <c r="I1302">
        <f>210035*(1.01^10)</f>
        <v>232009.30811074239</v>
      </c>
      <c r="J1302" t="s">
        <v>4570</v>
      </c>
      <c r="K1302">
        <f t="shared" si="20"/>
        <v>1482.5418954826048</v>
      </c>
    </row>
    <row r="1303" spans="1:11" x14ac:dyDescent="0.2">
      <c r="A1303" t="s">
        <v>405</v>
      </c>
      <c r="B1303" t="s">
        <v>667</v>
      </c>
      <c r="C1303" t="s">
        <v>4571</v>
      </c>
      <c r="D1303" t="s">
        <v>2775</v>
      </c>
      <c r="E1303" t="s">
        <v>1054</v>
      </c>
      <c r="F1303" t="s">
        <v>458</v>
      </c>
      <c r="G1303" t="s">
        <v>24</v>
      </c>
      <c r="H1303">
        <f>44183*(1.01^10)</f>
        <v>48805.519367043256</v>
      </c>
      <c r="I1303">
        <f>227421*(1.01^10)</f>
        <v>251214.26838314161</v>
      </c>
      <c r="J1303" t="s">
        <v>4572</v>
      </c>
      <c r="K1303">
        <f t="shared" si="20"/>
        <v>1441.2995247148788</v>
      </c>
    </row>
    <row r="1304" spans="1:11" x14ac:dyDescent="0.2">
      <c r="A1304" t="s">
        <v>405</v>
      </c>
      <c r="B1304" t="s">
        <v>667</v>
      </c>
      <c r="C1304" t="s">
        <v>4573</v>
      </c>
      <c r="D1304" t="s">
        <v>4574</v>
      </c>
      <c r="E1304" t="s">
        <v>91</v>
      </c>
      <c r="F1304" t="s">
        <v>92</v>
      </c>
      <c r="G1304" t="s">
        <v>24</v>
      </c>
      <c r="H1304">
        <f>27771*(1.01^10)</f>
        <v>30676.461044794567</v>
      </c>
      <c r="I1304">
        <f>148565*(1.01^10)</f>
        <v>164108.18606171562</v>
      </c>
      <c r="J1304" t="s">
        <v>4575</v>
      </c>
      <c r="K1304">
        <f t="shared" si="20"/>
        <v>1235.3534081017592</v>
      </c>
    </row>
    <row r="1305" spans="1:11" x14ac:dyDescent="0.2">
      <c r="A1305" t="s">
        <v>405</v>
      </c>
      <c r="B1305" t="s">
        <v>301</v>
      </c>
      <c r="C1305" t="s">
        <v>4576</v>
      </c>
      <c r="D1305" t="s">
        <v>4577</v>
      </c>
      <c r="E1305" t="s">
        <v>1340</v>
      </c>
      <c r="F1305" t="s">
        <v>12</v>
      </c>
      <c r="G1305" t="s">
        <v>24</v>
      </c>
      <c r="H1305">
        <f>19150*(1.01^10)</f>
        <v>21153.513701624572</v>
      </c>
      <c r="I1305">
        <f>90358*(1.01^10)</f>
        <v>99811.446007905644</v>
      </c>
      <c r="J1305" t="s">
        <v>4578</v>
      </c>
      <c r="K1305">
        <f t="shared" si="20"/>
        <v>2169.8700774663798</v>
      </c>
    </row>
    <row r="1306" spans="1:11" x14ac:dyDescent="0.2">
      <c r="A1306" t="s">
        <v>405</v>
      </c>
      <c r="B1306" t="s">
        <v>301</v>
      </c>
      <c r="C1306" t="s">
        <v>4579</v>
      </c>
      <c r="D1306" t="s">
        <v>4580</v>
      </c>
      <c r="E1306" t="s">
        <v>1506</v>
      </c>
      <c r="F1306" t="s">
        <v>726</v>
      </c>
      <c r="G1306" t="s">
        <v>24</v>
      </c>
      <c r="H1306">
        <f>26004*(1.01^10)</f>
        <v>28724.593749192969</v>
      </c>
      <c r="I1306">
        <f>124191*(1.01^10)</f>
        <v>137184.12637694294</v>
      </c>
      <c r="J1306" t="s">
        <v>4581</v>
      </c>
      <c r="K1306">
        <f t="shared" si="20"/>
        <v>1217.8777782831285</v>
      </c>
    </row>
    <row r="1307" spans="1:11" x14ac:dyDescent="0.2">
      <c r="A1307" t="s">
        <v>405</v>
      </c>
      <c r="B1307" t="s">
        <v>301</v>
      </c>
      <c r="C1307" t="s">
        <v>4582</v>
      </c>
      <c r="D1307" t="s">
        <v>4583</v>
      </c>
      <c r="E1307" t="s">
        <v>103</v>
      </c>
      <c r="F1307" t="s">
        <v>5</v>
      </c>
      <c r="G1307" t="s">
        <v>24</v>
      </c>
      <c r="H1307">
        <f>23901*(1.01^10)</f>
        <v>26401.573419453205</v>
      </c>
      <c r="I1307">
        <f>111108*(1.01^10)</f>
        <v>122732.35511018813</v>
      </c>
      <c r="J1307" t="s">
        <v>4584</v>
      </c>
      <c r="K1307">
        <f t="shared" si="20"/>
        <v>1714.123225555333</v>
      </c>
    </row>
    <row r="1308" spans="1:11" x14ac:dyDescent="0.2">
      <c r="A1308" t="s">
        <v>405</v>
      </c>
      <c r="B1308" t="s">
        <v>301</v>
      </c>
      <c r="C1308" t="s">
        <v>4585</v>
      </c>
      <c r="D1308" t="s">
        <v>4586</v>
      </c>
      <c r="E1308" t="s">
        <v>313</v>
      </c>
      <c r="F1308" t="s">
        <v>6</v>
      </c>
      <c r="G1308" t="s">
        <v>24</v>
      </c>
      <c r="H1308">
        <f>31044*(1.01^10)</f>
        <v>34291.889261265438</v>
      </c>
      <c r="I1308">
        <f>146680*(1.01^10)</f>
        <v>162025.97335531551</v>
      </c>
      <c r="J1308" t="s">
        <v>4587</v>
      </c>
      <c r="K1308">
        <f t="shared" si="20"/>
        <v>1661.0785796166685</v>
      </c>
    </row>
    <row r="1309" spans="1:11" x14ac:dyDescent="0.2">
      <c r="A1309" t="s">
        <v>405</v>
      </c>
      <c r="B1309" t="s">
        <v>301</v>
      </c>
      <c r="C1309" t="s">
        <v>4589</v>
      </c>
      <c r="D1309" t="s">
        <v>4482</v>
      </c>
      <c r="E1309" t="s">
        <v>287</v>
      </c>
      <c r="F1309" t="s">
        <v>67</v>
      </c>
      <c r="G1309" t="s">
        <v>24</v>
      </c>
      <c r="H1309">
        <f>35035*(1.01^10)</f>
        <v>38700.43616378156</v>
      </c>
      <c r="I1309">
        <f>172676*(1.01^10)</f>
        <v>190741.7301275052</v>
      </c>
      <c r="J1309" t="s">
        <v>4590</v>
      </c>
      <c r="K1309">
        <f t="shared" si="20"/>
        <v>1563.3191660493171</v>
      </c>
    </row>
    <row r="1310" spans="1:11" x14ac:dyDescent="0.2">
      <c r="A1310" t="s">
        <v>405</v>
      </c>
      <c r="B1310" t="s">
        <v>301</v>
      </c>
      <c r="C1310" t="s">
        <v>4591</v>
      </c>
      <c r="D1310" t="s">
        <v>4592</v>
      </c>
      <c r="E1310" t="s">
        <v>72</v>
      </c>
      <c r="F1310" t="s">
        <v>356</v>
      </c>
      <c r="G1310" t="s">
        <v>12</v>
      </c>
      <c r="H1310">
        <f>16733*(1.01^10)</f>
        <v>18483.642024505691</v>
      </c>
      <c r="I1310">
        <f>80510*(1.01^10)</f>
        <v>88933.127316856087</v>
      </c>
      <c r="J1310" t="s">
        <v>4593</v>
      </c>
      <c r="K1310">
        <f t="shared" si="20"/>
        <v>3439.0870871812472</v>
      </c>
    </row>
    <row r="1311" spans="1:11" x14ac:dyDescent="0.2">
      <c r="A1311" t="s">
        <v>405</v>
      </c>
      <c r="B1311" t="s">
        <v>301</v>
      </c>
      <c r="C1311" t="s">
        <v>4594</v>
      </c>
      <c r="D1311" t="s">
        <v>4595</v>
      </c>
      <c r="E1311" t="s">
        <v>1027</v>
      </c>
      <c r="F1311" t="s">
        <v>1506</v>
      </c>
      <c r="G1311" t="s">
        <v>24</v>
      </c>
      <c r="H1311">
        <f>39641*(1.01^10)</f>
        <v>43788.32567342557</v>
      </c>
      <c r="I1311">
        <f>195815*(1.01^10)</f>
        <v>216301.58148739504</v>
      </c>
      <c r="J1311" t="s">
        <v>4596</v>
      </c>
      <c r="K1311">
        <f t="shared" si="20"/>
        <v>1385.338805141959</v>
      </c>
    </row>
    <row r="1312" spans="1:11" x14ac:dyDescent="0.2">
      <c r="A1312" t="s">
        <v>405</v>
      </c>
      <c r="B1312" t="s">
        <v>301</v>
      </c>
      <c r="C1312" t="s">
        <v>4597</v>
      </c>
      <c r="D1312" t="s">
        <v>4598</v>
      </c>
      <c r="E1312" t="s">
        <v>829</v>
      </c>
      <c r="F1312" t="s">
        <v>1362</v>
      </c>
      <c r="G1312" t="s">
        <v>17</v>
      </c>
      <c r="H1312">
        <f>49949*(1.01^10)</f>
        <v>55174.770542164268</v>
      </c>
      <c r="I1312">
        <f>257751*(1.01^10)</f>
        <v>284717.45744686341</v>
      </c>
      <c r="J1312" t="s">
        <v>4599</v>
      </c>
      <c r="K1312">
        <f t="shared" si="20"/>
        <v>1880.7527400404229</v>
      </c>
    </row>
    <row r="1313" spans="1:11" x14ac:dyDescent="0.2">
      <c r="A1313" t="s">
        <v>405</v>
      </c>
      <c r="B1313" t="s">
        <v>301</v>
      </c>
      <c r="C1313" t="s">
        <v>4601</v>
      </c>
      <c r="D1313" t="s">
        <v>4602</v>
      </c>
      <c r="E1313" t="s">
        <v>612</v>
      </c>
      <c r="F1313" t="s">
        <v>313</v>
      </c>
      <c r="G1313" t="s">
        <v>11</v>
      </c>
      <c r="H1313">
        <f>52069*(1.01^10)</f>
        <v>57516.569448036018</v>
      </c>
      <c r="I1313">
        <f>273414*(1.01^10)</f>
        <v>302019.15379717911</v>
      </c>
      <c r="J1313" t="s">
        <v>4603</v>
      </c>
      <c r="K1313">
        <f t="shared" si="20"/>
        <v>3110.0806904225374</v>
      </c>
    </row>
    <row r="1314" spans="1:11" x14ac:dyDescent="0.2">
      <c r="A1314" t="s">
        <v>405</v>
      </c>
      <c r="B1314" t="s">
        <v>301</v>
      </c>
      <c r="C1314" t="s">
        <v>4604</v>
      </c>
      <c r="D1314" t="s">
        <v>4605</v>
      </c>
      <c r="E1314" t="s">
        <v>313</v>
      </c>
      <c r="F1314" t="s">
        <v>744</v>
      </c>
      <c r="G1314" t="s">
        <v>24</v>
      </c>
      <c r="H1314">
        <f>18832*(1.01^10)</f>
        <v>20802.243865743807</v>
      </c>
      <c r="I1314">
        <f>97467*(1.01^10)</f>
        <v>107664.2046974539</v>
      </c>
      <c r="J1314" t="s">
        <v>4606</v>
      </c>
      <c r="K1314">
        <f t="shared" si="20"/>
        <v>1898.5892649866757</v>
      </c>
    </row>
    <row r="1315" spans="1:11" x14ac:dyDescent="0.2">
      <c r="A1315" t="s">
        <v>405</v>
      </c>
      <c r="B1315" t="s">
        <v>301</v>
      </c>
      <c r="C1315" t="s">
        <v>4607</v>
      </c>
      <c r="D1315" t="s">
        <v>4608</v>
      </c>
      <c r="E1315" t="s">
        <v>1027</v>
      </c>
      <c r="F1315" t="s">
        <v>411</v>
      </c>
      <c r="G1315" t="s">
        <v>17</v>
      </c>
      <c r="H1315">
        <f>102790*(1.01^10)</f>
        <v>113544.10827101773</v>
      </c>
      <c r="I1315">
        <f>540009*(1.01^10)</f>
        <v>596505.88932117925</v>
      </c>
      <c r="J1315" t="s">
        <v>4609</v>
      </c>
      <c r="K1315">
        <f t="shared" si="20"/>
        <v>2667.3211050338887</v>
      </c>
    </row>
    <row r="1316" spans="1:11" x14ac:dyDescent="0.2">
      <c r="A1316" t="s">
        <v>405</v>
      </c>
      <c r="B1316" t="s">
        <v>301</v>
      </c>
      <c r="C1316" t="s">
        <v>4610</v>
      </c>
      <c r="D1316" t="s">
        <v>4611</v>
      </c>
      <c r="E1316" t="s">
        <v>313</v>
      </c>
      <c r="F1316" t="s">
        <v>152</v>
      </c>
      <c r="G1316" t="s">
        <v>24</v>
      </c>
      <c r="H1316">
        <f>22655*(1.01^10)</f>
        <v>25025.214251190842</v>
      </c>
      <c r="I1316">
        <f>103357*(1.01^10)</f>
        <v>114170.42901612588</v>
      </c>
      <c r="J1316" t="s">
        <v>4612</v>
      </c>
      <c r="K1316">
        <f t="shared" si="20"/>
        <v>1557.5505674858853</v>
      </c>
    </row>
    <row r="1317" spans="1:11" x14ac:dyDescent="0.2">
      <c r="A1317" t="s">
        <v>405</v>
      </c>
      <c r="B1317" t="s">
        <v>301</v>
      </c>
      <c r="C1317" t="s">
        <v>4613</v>
      </c>
      <c r="D1317" t="s">
        <v>4614</v>
      </c>
      <c r="E1317" t="s">
        <v>91</v>
      </c>
      <c r="F1317" t="s">
        <v>92</v>
      </c>
      <c r="G1317" t="s">
        <v>12</v>
      </c>
      <c r="H1317">
        <f>28917*(1.01^10)</f>
        <v>31942.358000515807</v>
      </c>
      <c r="I1317">
        <f>140097*(1.01^10)</f>
        <v>154754.24590373356</v>
      </c>
      <c r="J1317" t="s">
        <v>4615</v>
      </c>
      <c r="K1317">
        <f t="shared" si="20"/>
        <v>2130.0771477154353</v>
      </c>
    </row>
    <row r="1318" spans="1:11" x14ac:dyDescent="0.2">
      <c r="A1318" t="s">
        <v>405</v>
      </c>
      <c r="B1318" t="s">
        <v>301</v>
      </c>
      <c r="C1318" t="s">
        <v>4616</v>
      </c>
      <c r="D1318" t="s">
        <v>4617</v>
      </c>
      <c r="E1318" t="s">
        <v>445</v>
      </c>
      <c r="F1318" t="s">
        <v>405</v>
      </c>
      <c r="G1318" t="s">
        <v>24</v>
      </c>
      <c r="H1318">
        <f>14982*(1.01^10)</f>
        <v>16549.448682910668</v>
      </c>
      <c r="I1318">
        <f>77256*(1.01^10)</f>
        <v>85338.686920768028</v>
      </c>
      <c r="J1318" t="s">
        <v>4618</v>
      </c>
      <c r="K1318">
        <f t="shared" si="20"/>
        <v>1323.7284791990055</v>
      </c>
    </row>
    <row r="1319" spans="1:11" x14ac:dyDescent="0.2">
      <c r="A1319" t="s">
        <v>405</v>
      </c>
      <c r="B1319" t="s">
        <v>301</v>
      </c>
      <c r="C1319" t="s">
        <v>4620</v>
      </c>
      <c r="D1319" t="s">
        <v>4621</v>
      </c>
      <c r="E1319" t="s">
        <v>374</v>
      </c>
      <c r="F1319" t="s">
        <v>152</v>
      </c>
      <c r="G1319" t="s">
        <v>24</v>
      </c>
      <c r="H1319">
        <f>37469*(1.01^10)</f>
        <v>41389.086417032428</v>
      </c>
      <c r="I1319">
        <f>194172*(1.01^10)</f>
        <v>214486.68733534444</v>
      </c>
      <c r="J1319" t="s">
        <v>4622</v>
      </c>
      <c r="K1319">
        <f t="shared" si="20"/>
        <v>1434.6069781389922</v>
      </c>
    </row>
    <row r="1320" spans="1:11" x14ac:dyDescent="0.2">
      <c r="A1320" t="s">
        <v>405</v>
      </c>
      <c r="B1320" t="s">
        <v>301</v>
      </c>
      <c r="C1320" t="s">
        <v>4623</v>
      </c>
      <c r="D1320" t="s">
        <v>4624</v>
      </c>
      <c r="E1320" t="s">
        <v>789</v>
      </c>
      <c r="F1320" t="s">
        <v>425</v>
      </c>
      <c r="G1320" t="s">
        <v>12</v>
      </c>
      <c r="H1320">
        <f>33812*(1.01^10)</f>
        <v>37349.483304403657</v>
      </c>
      <c r="I1320">
        <f>182178*(1.01^10)</f>
        <v>201237.84956316245</v>
      </c>
      <c r="J1320" t="s">
        <v>4625</v>
      </c>
      <c r="K1320">
        <f t="shared" si="20"/>
        <v>1378.6859446143651</v>
      </c>
    </row>
    <row r="1321" spans="1:11" x14ac:dyDescent="0.2">
      <c r="A1321" t="s">
        <v>405</v>
      </c>
      <c r="B1321" t="s">
        <v>301</v>
      </c>
      <c r="C1321" t="s">
        <v>4626</v>
      </c>
      <c r="D1321" t="s">
        <v>4627</v>
      </c>
      <c r="E1321" t="s">
        <v>520</v>
      </c>
      <c r="F1321" t="s">
        <v>61</v>
      </c>
      <c r="G1321" t="s">
        <v>24</v>
      </c>
      <c r="H1321">
        <f>30937*(1.01^10)</f>
        <v>34173.694693846439</v>
      </c>
      <c r="I1321">
        <f>152725*(1.01^10)</f>
        <v>168703.41410342624</v>
      </c>
      <c r="J1321" t="s">
        <v>4628</v>
      </c>
      <c r="K1321">
        <f t="shared" si="20"/>
        <v>921.32845447664363</v>
      </c>
    </row>
    <row r="1322" spans="1:11" x14ac:dyDescent="0.2">
      <c r="A1322" t="s">
        <v>405</v>
      </c>
      <c r="B1322" t="s">
        <v>301</v>
      </c>
      <c r="C1322" t="s">
        <v>4629</v>
      </c>
      <c r="D1322" t="s">
        <v>4630</v>
      </c>
      <c r="E1322" t="s">
        <v>6</v>
      </c>
      <c r="F1322" t="s">
        <v>126</v>
      </c>
      <c r="G1322" t="s">
        <v>24</v>
      </c>
      <c r="H1322">
        <f>5747*(1.01^10)</f>
        <v>6348.2633547381938</v>
      </c>
      <c r="I1322">
        <f>30777*(1.01^10)</f>
        <v>33996.955153780647</v>
      </c>
      <c r="J1322" t="s">
        <v>4631</v>
      </c>
      <c r="K1322">
        <f t="shared" si="20"/>
        <v>497.21569098403842</v>
      </c>
    </row>
    <row r="1323" spans="1:11" x14ac:dyDescent="0.2">
      <c r="A1323" t="s">
        <v>405</v>
      </c>
      <c r="B1323" t="s">
        <v>139</v>
      </c>
      <c r="C1323" t="s">
        <v>4633</v>
      </c>
      <c r="D1323" t="s">
        <v>4634</v>
      </c>
      <c r="E1323" t="s">
        <v>674</v>
      </c>
      <c r="F1323" t="s">
        <v>12</v>
      </c>
      <c r="G1323" t="s">
        <v>24</v>
      </c>
      <c r="H1323">
        <f>55344*(1.01^10)</f>
        <v>61134.206908757718</v>
      </c>
      <c r="I1323">
        <f>282127*(1.01^10)</f>
        <v>311643.72637588694</v>
      </c>
      <c r="J1323" t="s">
        <v>4635</v>
      </c>
      <c r="K1323">
        <f t="shared" si="20"/>
        <v>1141.595793204302</v>
      </c>
    </row>
    <row r="1324" spans="1:11" x14ac:dyDescent="0.2">
      <c r="A1324" t="s">
        <v>405</v>
      </c>
      <c r="B1324" t="s">
        <v>139</v>
      </c>
      <c r="C1324" t="s">
        <v>4636</v>
      </c>
      <c r="D1324" t="s">
        <v>4637</v>
      </c>
      <c r="E1324" t="s">
        <v>333</v>
      </c>
      <c r="F1324" t="s">
        <v>5</v>
      </c>
      <c r="G1324" t="s">
        <v>12</v>
      </c>
      <c r="H1324">
        <f>75065*(1.01^10)</f>
        <v>82918.459843992081</v>
      </c>
      <c r="I1324">
        <f>381358*(1.01^10)</f>
        <v>421256.48450256622</v>
      </c>
      <c r="J1324" t="s">
        <v>4638</v>
      </c>
      <c r="K1324">
        <f t="shared" si="20"/>
        <v>1561.5267149201611</v>
      </c>
    </row>
    <row r="1325" spans="1:11" x14ac:dyDescent="0.2">
      <c r="A1325" t="s">
        <v>405</v>
      </c>
      <c r="B1325" t="s">
        <v>139</v>
      </c>
      <c r="C1325" t="s">
        <v>4639</v>
      </c>
      <c r="D1325" t="s">
        <v>4640</v>
      </c>
      <c r="E1325" t="s">
        <v>405</v>
      </c>
      <c r="F1325" t="s">
        <v>11</v>
      </c>
      <c r="G1325" t="s">
        <v>24</v>
      </c>
      <c r="H1325">
        <f>17464*(1.01^10)</f>
        <v>19291.12079818128</v>
      </c>
      <c r="I1325">
        <f>88511*(1.01^10)</f>
        <v>97771.208942271143</v>
      </c>
      <c r="J1325" t="s">
        <v>4641</v>
      </c>
      <c r="K1325">
        <f t="shared" si="20"/>
        <v>1473.7037609421691</v>
      </c>
    </row>
    <row r="1326" spans="1:11" x14ac:dyDescent="0.2">
      <c r="A1326" t="s">
        <v>405</v>
      </c>
      <c r="B1326" t="s">
        <v>139</v>
      </c>
      <c r="C1326" t="s">
        <v>4642</v>
      </c>
      <c r="D1326" t="s">
        <v>4643</v>
      </c>
      <c r="E1326" t="s">
        <v>56</v>
      </c>
      <c r="F1326" t="s">
        <v>24</v>
      </c>
      <c r="G1326" t="s">
        <v>24</v>
      </c>
      <c r="H1326">
        <f>29902*(1.01^10)</f>
        <v>33030.410794045842</v>
      </c>
      <c r="I1326">
        <f>153831*(1.01^10)</f>
        <v>169925.12617413103</v>
      </c>
      <c r="J1326" t="s">
        <v>4644</v>
      </c>
      <c r="K1326">
        <f t="shared" si="20"/>
        <v>1054.199291494202</v>
      </c>
    </row>
    <row r="1327" spans="1:11" x14ac:dyDescent="0.2">
      <c r="A1327" t="s">
        <v>405</v>
      </c>
      <c r="B1327" t="s">
        <v>139</v>
      </c>
      <c r="C1327" t="s">
        <v>4645</v>
      </c>
      <c r="D1327" t="s">
        <v>4646</v>
      </c>
      <c r="E1327" t="s">
        <v>220</v>
      </c>
      <c r="F1327" t="s">
        <v>24</v>
      </c>
      <c r="G1327" t="s">
        <v>24</v>
      </c>
      <c r="H1327">
        <f>40186*(1.01^10)</f>
        <v>44390.344731774676</v>
      </c>
      <c r="I1327">
        <f>200223*(1.01^10)</f>
        <v>221170.75581620765</v>
      </c>
      <c r="J1327" t="s">
        <v>4647</v>
      </c>
      <c r="K1327">
        <f t="shared" si="20"/>
        <v>1007.9221854809972</v>
      </c>
    </row>
    <row r="1328" spans="1:11" x14ac:dyDescent="0.2">
      <c r="A1328" t="s">
        <v>405</v>
      </c>
      <c r="B1328" t="s">
        <v>139</v>
      </c>
      <c r="C1328" t="s">
        <v>4648</v>
      </c>
      <c r="D1328" t="s">
        <v>4649</v>
      </c>
      <c r="E1328" t="s">
        <v>176</v>
      </c>
      <c r="F1328" t="s">
        <v>77</v>
      </c>
      <c r="G1328" t="s">
        <v>12</v>
      </c>
      <c r="H1328">
        <f>62019*(1.01^10)</f>
        <v>68507.559595877508</v>
      </c>
      <c r="I1328">
        <f>316770*(1.01^10)</f>
        <v>349911.15066650731</v>
      </c>
      <c r="J1328" t="s">
        <v>4650</v>
      </c>
      <c r="K1328">
        <f t="shared" si="20"/>
        <v>1323.0383466357789</v>
      </c>
    </row>
    <row r="1329" spans="1:11" x14ac:dyDescent="0.2">
      <c r="A1329" t="s">
        <v>405</v>
      </c>
      <c r="B1329" t="s">
        <v>139</v>
      </c>
      <c r="C1329" t="s">
        <v>4651</v>
      </c>
      <c r="D1329" t="s">
        <v>4652</v>
      </c>
      <c r="E1329" t="s">
        <v>333</v>
      </c>
      <c r="F1329" t="s">
        <v>61</v>
      </c>
      <c r="G1329" t="s">
        <v>24</v>
      </c>
      <c r="H1329">
        <f>48843*(1.01^10)</f>
        <v>53953.058471459473</v>
      </c>
      <c r="I1329">
        <f>244066*(1.01^10)</f>
        <v>269600.70366061112</v>
      </c>
      <c r="J1329" t="s">
        <v>4653</v>
      </c>
      <c r="K1329">
        <f t="shared" si="20"/>
        <v>1162.9964044649655</v>
      </c>
    </row>
    <row r="1330" spans="1:11" x14ac:dyDescent="0.2">
      <c r="A1330" t="s">
        <v>405</v>
      </c>
      <c r="B1330" t="s">
        <v>1032</v>
      </c>
      <c r="C1330" t="s">
        <v>4654</v>
      </c>
      <c r="D1330" t="s">
        <v>4655</v>
      </c>
      <c r="E1330" t="s">
        <v>274</v>
      </c>
      <c r="F1330" t="s">
        <v>44</v>
      </c>
      <c r="G1330" t="s">
        <v>24</v>
      </c>
      <c r="H1330">
        <f>19680*(1.01^10)</f>
        <v>21738.963428092509</v>
      </c>
      <c r="I1330">
        <f>106701*(1.01^10)</f>
        <v>117864.28540350095</v>
      </c>
      <c r="J1330" t="s">
        <v>4656</v>
      </c>
      <c r="K1330">
        <f t="shared" si="20"/>
        <v>752.1017658808928</v>
      </c>
    </row>
    <row r="1331" spans="1:11" x14ac:dyDescent="0.2">
      <c r="A1331" t="s">
        <v>405</v>
      </c>
      <c r="B1331" t="s">
        <v>1032</v>
      </c>
      <c r="C1331" t="s">
        <v>4657</v>
      </c>
      <c r="D1331" t="s">
        <v>4658</v>
      </c>
      <c r="E1331" t="s">
        <v>61</v>
      </c>
      <c r="F1331" t="s">
        <v>356</v>
      </c>
      <c r="G1331" t="s">
        <v>24</v>
      </c>
      <c r="H1331">
        <f>23503*(1.01^10)</f>
        <v>25961.933813539545</v>
      </c>
      <c r="I1331">
        <f>123386*(1.01^10)</f>
        <v>136294.9055659869</v>
      </c>
      <c r="J1331" t="s">
        <v>4659</v>
      </c>
      <c r="K1331">
        <f t="shared" si="20"/>
        <v>911.98111315997812</v>
      </c>
    </row>
    <row r="1332" spans="1:11" x14ac:dyDescent="0.2">
      <c r="A1332" t="s">
        <v>405</v>
      </c>
      <c r="B1332" t="s">
        <v>1032</v>
      </c>
      <c r="C1332" t="s">
        <v>4660</v>
      </c>
      <c r="D1332" t="s">
        <v>4661</v>
      </c>
      <c r="E1332" t="s">
        <v>1340</v>
      </c>
      <c r="F1332" t="s">
        <v>318</v>
      </c>
      <c r="G1332" t="s">
        <v>24</v>
      </c>
      <c r="H1332">
        <f>25629*(1.01^10)</f>
        <v>28310.360452163768</v>
      </c>
      <c r="I1332">
        <f>132898*(1.01^10)</f>
        <v>146802.07122289829</v>
      </c>
      <c r="J1332" t="s">
        <v>4662</v>
      </c>
      <c r="K1332">
        <f t="shared" si="20"/>
        <v>1169.0155694834941</v>
      </c>
    </row>
    <row r="1333" spans="1:11" x14ac:dyDescent="0.2">
      <c r="A1333" t="s">
        <v>405</v>
      </c>
      <c r="B1333" t="s">
        <v>1032</v>
      </c>
      <c r="C1333" t="s">
        <v>4663</v>
      </c>
      <c r="D1333" t="s">
        <v>4664</v>
      </c>
      <c r="E1333" t="s">
        <v>382</v>
      </c>
      <c r="F1333" t="s">
        <v>405</v>
      </c>
      <c r="G1333" t="s">
        <v>12</v>
      </c>
      <c r="H1333">
        <f>27517*(1.01^10)</f>
        <v>30395.887024940123</v>
      </c>
      <c r="I1333">
        <f>154428*(1.01^10)</f>
        <v>170584.58558300152</v>
      </c>
      <c r="J1333" t="s">
        <v>4665</v>
      </c>
      <c r="K1333">
        <f t="shared" si="20"/>
        <v>1513.8840944957869</v>
      </c>
    </row>
    <row r="1334" spans="1:11" x14ac:dyDescent="0.2">
      <c r="A1334" t="s">
        <v>405</v>
      </c>
      <c r="B1334" t="s">
        <v>1032</v>
      </c>
      <c r="C1334" t="s">
        <v>4666</v>
      </c>
      <c r="D1334" t="s">
        <v>4667</v>
      </c>
      <c r="E1334" t="s">
        <v>744</v>
      </c>
      <c r="F1334" t="s">
        <v>11</v>
      </c>
      <c r="G1334" t="s">
        <v>24</v>
      </c>
      <c r="H1334">
        <f>17416*(1.01^10)</f>
        <v>19238.098936161543</v>
      </c>
      <c r="I1334">
        <f>90284*(1.01^10)</f>
        <v>99729.703970625211</v>
      </c>
      <c r="J1334" t="s">
        <v>4668</v>
      </c>
      <c r="K1334">
        <f t="shared" si="20"/>
        <v>940.64808740331716</v>
      </c>
    </row>
    <row r="1335" spans="1:11" x14ac:dyDescent="0.2">
      <c r="A1335" t="s">
        <v>405</v>
      </c>
      <c r="B1335" t="s">
        <v>1032</v>
      </c>
      <c r="C1335" t="s">
        <v>4669</v>
      </c>
      <c r="D1335" t="s">
        <v>4670</v>
      </c>
      <c r="E1335" t="s">
        <v>744</v>
      </c>
      <c r="F1335" t="s">
        <v>405</v>
      </c>
      <c r="G1335" t="s">
        <v>24</v>
      </c>
      <c r="H1335">
        <f>17917*(1.01^10)</f>
        <v>19791.514620992555</v>
      </c>
      <c r="I1335">
        <f>94952*(1.01^10)</f>
        <v>104886.08005204471</v>
      </c>
      <c r="J1335" t="s">
        <v>4671</v>
      </c>
      <c r="K1335">
        <f t="shared" si="20"/>
        <v>734.48625637980467</v>
      </c>
    </row>
    <row r="1336" spans="1:11" x14ac:dyDescent="0.2">
      <c r="A1336" t="s">
        <v>405</v>
      </c>
      <c r="B1336" t="s">
        <v>1032</v>
      </c>
      <c r="C1336" t="s">
        <v>4672</v>
      </c>
      <c r="D1336" t="s">
        <v>4673</v>
      </c>
      <c r="E1336" t="s">
        <v>287</v>
      </c>
      <c r="F1336" t="s">
        <v>796</v>
      </c>
      <c r="G1336" t="s">
        <v>24</v>
      </c>
      <c r="H1336">
        <f>53103*(1.01^10)</f>
        <v>58658.748725711208</v>
      </c>
      <c r="I1336">
        <f>285357*(1.01^10)</f>
        <v>315211.65584096516</v>
      </c>
      <c r="J1336" t="s">
        <v>4674</v>
      </c>
      <c r="K1336">
        <f t="shared" si="20"/>
        <v>939.55596261969379</v>
      </c>
    </row>
    <row r="1337" spans="1:11" x14ac:dyDescent="0.2">
      <c r="A1337" t="s">
        <v>405</v>
      </c>
      <c r="B1337" t="s">
        <v>1032</v>
      </c>
      <c r="C1337" t="s">
        <v>4675</v>
      </c>
      <c r="D1337" t="s">
        <v>4676</v>
      </c>
      <c r="E1337" t="s">
        <v>1282</v>
      </c>
      <c r="F1337" t="s">
        <v>425</v>
      </c>
      <c r="G1337" t="s">
        <v>17</v>
      </c>
      <c r="H1337">
        <f>69776*(1.01^10)</f>
        <v>77076.11342269223</v>
      </c>
      <c r="I1337">
        <f>365285*(1.01^10)</f>
        <v>403501.89308083191</v>
      </c>
      <c r="J1337" t="s">
        <v>4677</v>
      </c>
      <c r="K1337">
        <f t="shared" si="20"/>
        <v>1359.5181269723996</v>
      </c>
    </row>
    <row r="1338" spans="1:11" x14ac:dyDescent="0.2">
      <c r="A1338" t="s">
        <v>405</v>
      </c>
      <c r="B1338" t="s">
        <v>1032</v>
      </c>
      <c r="C1338" t="s">
        <v>4678</v>
      </c>
      <c r="D1338" t="s">
        <v>4679</v>
      </c>
      <c r="E1338" t="s">
        <v>152</v>
      </c>
      <c r="F1338" t="s">
        <v>6</v>
      </c>
      <c r="G1338" t="s">
        <v>24</v>
      </c>
      <c r="H1338">
        <f>8228*(1.01^10)</f>
        <v>9088.8308478833933</v>
      </c>
      <c r="I1338">
        <f>43440*(1.01^10)</f>
        <v>47984.785127862735</v>
      </c>
      <c r="J1338" t="s">
        <v>4680</v>
      </c>
      <c r="K1338">
        <f t="shared" si="20"/>
        <v>573.67064173519702</v>
      </c>
    </row>
    <row r="1339" spans="1:11" x14ac:dyDescent="0.2">
      <c r="A1339" t="s">
        <v>405</v>
      </c>
      <c r="B1339" t="s">
        <v>1032</v>
      </c>
      <c r="C1339" t="s">
        <v>4681</v>
      </c>
      <c r="D1339" t="s">
        <v>4682</v>
      </c>
      <c r="E1339" t="s">
        <v>333</v>
      </c>
      <c r="F1339" t="s">
        <v>72</v>
      </c>
      <c r="G1339" t="s">
        <v>12</v>
      </c>
      <c r="H1339">
        <f>26739*(1.01^10)</f>
        <v>29536.491011370203</v>
      </c>
      <c r="I1339">
        <f>142805*(1.01^10)</f>
        <v>157745.5626193471</v>
      </c>
      <c r="J1339" t="s">
        <v>4683</v>
      </c>
      <c r="K1339">
        <f t="shared" si="20"/>
        <v>1139.7653641740478</v>
      </c>
    </row>
    <row r="1340" spans="1:11" x14ac:dyDescent="0.2">
      <c r="A1340" t="s">
        <v>405</v>
      </c>
      <c r="B1340" t="s">
        <v>1032</v>
      </c>
      <c r="C1340" t="s">
        <v>4685</v>
      </c>
      <c r="D1340" t="s">
        <v>4686</v>
      </c>
      <c r="E1340" t="s">
        <v>1060</v>
      </c>
      <c r="F1340" t="s">
        <v>264</v>
      </c>
      <c r="G1340" t="s">
        <v>12</v>
      </c>
      <c r="H1340">
        <f>27822*(1.01^10)</f>
        <v>30732.796773190537</v>
      </c>
      <c r="I1340">
        <f>151291*(1.01^10)</f>
        <v>167119.38597558657</v>
      </c>
      <c r="J1340" t="s">
        <v>4687</v>
      </c>
      <c r="K1340">
        <f t="shared" si="20"/>
        <v>1136.2735366844854</v>
      </c>
    </row>
    <row r="1341" spans="1:11" x14ac:dyDescent="0.2">
      <c r="A1341" t="s">
        <v>405</v>
      </c>
      <c r="B1341" t="s">
        <v>1032</v>
      </c>
      <c r="C1341" t="s">
        <v>4688</v>
      </c>
      <c r="D1341" t="s">
        <v>4689</v>
      </c>
      <c r="E1341" t="s">
        <v>542</v>
      </c>
      <c r="F1341" t="s">
        <v>1054</v>
      </c>
      <c r="G1341" t="s">
        <v>12</v>
      </c>
      <c r="H1341">
        <f>46092*(1.01^10)</f>
        <v>50914.243004453252</v>
      </c>
      <c r="I1341">
        <f>248001*(1.01^10)</f>
        <v>273947.39172410418</v>
      </c>
      <c r="J1341" t="s">
        <v>4690</v>
      </c>
      <c r="K1341">
        <f t="shared" si="20"/>
        <v>1201.2799124572161</v>
      </c>
    </row>
    <row r="1342" spans="1:11" x14ac:dyDescent="0.2">
      <c r="A1342" t="s">
        <v>405</v>
      </c>
      <c r="B1342" t="s">
        <v>1032</v>
      </c>
      <c r="C1342" t="s">
        <v>4691</v>
      </c>
      <c r="D1342" t="s">
        <v>4692</v>
      </c>
      <c r="E1342" t="s">
        <v>1617</v>
      </c>
      <c r="F1342" t="s">
        <v>1545</v>
      </c>
      <c r="G1342" t="s">
        <v>24</v>
      </c>
      <c r="H1342">
        <f>35689*(1.01^10)</f>
        <v>39422.859033800487</v>
      </c>
      <c r="I1342">
        <f>188078*(1.01^10)</f>
        <v>207755.12010308856</v>
      </c>
      <c r="J1342" t="s">
        <v>4693</v>
      </c>
      <c r="K1342">
        <f t="shared" si="20"/>
        <v>1255.1357692726408</v>
      </c>
    </row>
    <row r="1343" spans="1:11" x14ac:dyDescent="0.2">
      <c r="A1343" t="s">
        <v>405</v>
      </c>
      <c r="B1343" t="s">
        <v>1032</v>
      </c>
      <c r="C1343" t="s">
        <v>4694</v>
      </c>
      <c r="D1343" t="s">
        <v>4695</v>
      </c>
      <c r="E1343" t="s">
        <v>498</v>
      </c>
      <c r="F1343" t="s">
        <v>72</v>
      </c>
      <c r="G1343" t="s">
        <v>24</v>
      </c>
      <c r="H1343">
        <f>27813*(1.01^10)</f>
        <v>30722.855174061839</v>
      </c>
      <c r="I1343">
        <f>146210*(1.01^10)</f>
        <v>161506.80095637226</v>
      </c>
      <c r="J1343" t="s">
        <v>4696</v>
      </c>
      <c r="K1343">
        <f t="shared" si="20"/>
        <v>1442.5541959844215</v>
      </c>
    </row>
    <row r="1344" spans="1:11" x14ac:dyDescent="0.2">
      <c r="A1344" t="s">
        <v>405</v>
      </c>
      <c r="B1344" t="s">
        <v>1032</v>
      </c>
      <c r="C1344" t="s">
        <v>4697</v>
      </c>
      <c r="D1344" t="s">
        <v>4698</v>
      </c>
      <c r="E1344" t="s">
        <v>1060</v>
      </c>
      <c r="F1344" t="s">
        <v>542</v>
      </c>
      <c r="G1344" t="s">
        <v>5</v>
      </c>
      <c r="H1344">
        <f>101815*(1.01^10)</f>
        <v>112467.10169874181</v>
      </c>
      <c r="I1344">
        <f>572253*(1.01^10)</f>
        <v>632123.3251329381</v>
      </c>
      <c r="J1344" t="s">
        <v>4699</v>
      </c>
      <c r="K1344">
        <f t="shared" si="20"/>
        <v>6296.7483081641503</v>
      </c>
    </row>
    <row r="1345" spans="1:11" x14ac:dyDescent="0.2">
      <c r="A1345" t="s">
        <v>405</v>
      </c>
      <c r="B1345" t="s">
        <v>1032</v>
      </c>
      <c r="C1345" t="s">
        <v>4700</v>
      </c>
      <c r="D1345" t="s">
        <v>4701</v>
      </c>
      <c r="E1345" t="s">
        <v>771</v>
      </c>
      <c r="F1345" t="s">
        <v>829</v>
      </c>
      <c r="G1345" t="s">
        <v>24</v>
      </c>
      <c r="H1345">
        <f>35972*(1.01^10)</f>
        <v>39735.46709529186</v>
      </c>
      <c r="I1345">
        <f>192397*(1.01^10)</f>
        <v>212525.98306273957</v>
      </c>
      <c r="J1345" t="s">
        <v>4702</v>
      </c>
      <c r="K1345">
        <f t="shared" si="20"/>
        <v>1261.8089725648083</v>
      </c>
    </row>
    <row r="1346" spans="1:11" x14ac:dyDescent="0.2">
      <c r="A1346" t="s">
        <v>405</v>
      </c>
      <c r="B1346" t="s">
        <v>933</v>
      </c>
      <c r="C1346" t="s">
        <v>4703</v>
      </c>
      <c r="D1346" t="s">
        <v>4704</v>
      </c>
      <c r="E1346" t="s">
        <v>390</v>
      </c>
      <c r="F1346" t="s">
        <v>1580</v>
      </c>
      <c r="G1346" t="s">
        <v>24</v>
      </c>
      <c r="H1346">
        <f>32616*(1.01^10)</f>
        <v>36028.355242411853</v>
      </c>
      <c r="I1346">
        <f>173974*(1.01^10)</f>
        <v>192175.52964628892</v>
      </c>
      <c r="J1346" t="s">
        <v>4705</v>
      </c>
      <c r="K1346">
        <f t="shared" si="20"/>
        <v>1089.3526582480376</v>
      </c>
    </row>
    <row r="1347" spans="1:11" x14ac:dyDescent="0.2">
      <c r="A1347" t="s">
        <v>405</v>
      </c>
      <c r="B1347" t="s">
        <v>933</v>
      </c>
      <c r="C1347" t="s">
        <v>4706</v>
      </c>
      <c r="D1347" t="s">
        <v>4707</v>
      </c>
      <c r="E1347" t="s">
        <v>404</v>
      </c>
      <c r="F1347" t="s">
        <v>619</v>
      </c>
      <c r="G1347" t="s">
        <v>12</v>
      </c>
      <c r="H1347">
        <f>42878*(1.01^10)</f>
        <v>47363.987493381639</v>
      </c>
      <c r="I1347">
        <f>226687*(1.01^10)</f>
        <v>250403.47574308977</v>
      </c>
      <c r="J1347" t="s">
        <v>4708</v>
      </c>
      <c r="K1347">
        <f t="shared" ref="K1347:K1410" si="21">I1347/J1347</f>
        <v>1480.9140392247971</v>
      </c>
    </row>
    <row r="1348" spans="1:11" x14ac:dyDescent="0.2">
      <c r="A1348" t="s">
        <v>405</v>
      </c>
      <c r="B1348" t="s">
        <v>933</v>
      </c>
      <c r="C1348" t="s">
        <v>4709</v>
      </c>
      <c r="D1348" t="s">
        <v>4710</v>
      </c>
      <c r="E1348" t="s">
        <v>310</v>
      </c>
      <c r="F1348" t="s">
        <v>185</v>
      </c>
      <c r="G1348" t="s">
        <v>24</v>
      </c>
      <c r="H1348">
        <f>38409*(1.01^10)</f>
        <v>42427.431214918965</v>
      </c>
      <c r="I1348">
        <f>197601*(1.01^10)</f>
        <v>218274.43660337946</v>
      </c>
      <c r="J1348" t="s">
        <v>4711</v>
      </c>
      <c r="K1348">
        <f t="shared" si="21"/>
        <v>1088.9731749152479</v>
      </c>
    </row>
    <row r="1349" spans="1:11" x14ac:dyDescent="0.2">
      <c r="A1349" t="s">
        <v>405</v>
      </c>
      <c r="B1349" t="s">
        <v>933</v>
      </c>
      <c r="C1349" t="s">
        <v>4712</v>
      </c>
      <c r="D1349" t="s">
        <v>4713</v>
      </c>
      <c r="E1349" t="s">
        <v>385</v>
      </c>
      <c r="F1349" t="s">
        <v>185</v>
      </c>
      <c r="G1349" t="s">
        <v>24</v>
      </c>
      <c r="H1349">
        <f>43274*(1.01^10)</f>
        <v>47801.417855044478</v>
      </c>
      <c r="I1349">
        <f>239762*(1.01^10)</f>
        <v>264846.41003284126</v>
      </c>
      <c r="J1349" t="s">
        <v>4714</v>
      </c>
      <c r="K1349">
        <f t="shared" si="21"/>
        <v>1117.418938354004</v>
      </c>
    </row>
    <row r="1350" spans="1:11" x14ac:dyDescent="0.2">
      <c r="A1350" t="s">
        <v>405</v>
      </c>
      <c r="B1350" t="s">
        <v>933</v>
      </c>
      <c r="C1350" t="s">
        <v>4716</v>
      </c>
      <c r="D1350" t="s">
        <v>4717</v>
      </c>
      <c r="E1350" t="s">
        <v>137</v>
      </c>
      <c r="F1350" t="s">
        <v>152</v>
      </c>
      <c r="G1350" t="s">
        <v>24</v>
      </c>
      <c r="H1350">
        <f>28940*(1.01^10)</f>
        <v>31967.764309400267</v>
      </c>
      <c r="I1350">
        <f>149188*(1.01^10)</f>
        <v>164796.36564584682</v>
      </c>
      <c r="J1350" t="s">
        <v>4718</v>
      </c>
      <c r="K1350">
        <f t="shared" si="21"/>
        <v>1059.1961901679076</v>
      </c>
    </row>
    <row r="1351" spans="1:11" x14ac:dyDescent="0.2">
      <c r="A1351" t="s">
        <v>405</v>
      </c>
      <c r="B1351" t="s">
        <v>933</v>
      </c>
      <c r="C1351" t="s">
        <v>4719</v>
      </c>
      <c r="D1351" t="s">
        <v>4720</v>
      </c>
      <c r="E1351" t="s">
        <v>168</v>
      </c>
      <c r="F1351" t="s">
        <v>405</v>
      </c>
      <c r="G1351" t="s">
        <v>12</v>
      </c>
      <c r="H1351">
        <f>40825*(1.01^10)</f>
        <v>45096.198269912435</v>
      </c>
      <c r="I1351">
        <f>217301*(1.01^10)</f>
        <v>240035.49247398021</v>
      </c>
      <c r="J1351" t="s">
        <v>4721</v>
      </c>
      <c r="K1351">
        <f t="shared" si="21"/>
        <v>784.5038073757496</v>
      </c>
    </row>
    <row r="1352" spans="1:11" x14ac:dyDescent="0.2">
      <c r="A1352" t="s">
        <v>405</v>
      </c>
      <c r="B1352" t="s">
        <v>933</v>
      </c>
      <c r="C1352" t="s">
        <v>4723</v>
      </c>
      <c r="D1352" t="s">
        <v>4724</v>
      </c>
      <c r="E1352" t="s">
        <v>436</v>
      </c>
      <c r="F1352" t="s">
        <v>108</v>
      </c>
      <c r="G1352" t="s">
        <v>24</v>
      </c>
      <c r="H1352">
        <f>23632*(1.01^10)</f>
        <v>26104.430067717589</v>
      </c>
      <c r="I1352">
        <f>125251*(1.01^10)</f>
        <v>138355.02582987881</v>
      </c>
      <c r="J1352" t="s">
        <v>4725</v>
      </c>
      <c r="K1352">
        <f t="shared" si="21"/>
        <v>647.19723104206446</v>
      </c>
    </row>
    <row r="1353" spans="1:11" x14ac:dyDescent="0.2">
      <c r="A1353" t="s">
        <v>405</v>
      </c>
      <c r="B1353" t="s">
        <v>933</v>
      </c>
      <c r="C1353" t="s">
        <v>4726</v>
      </c>
      <c r="D1353" t="s">
        <v>4727</v>
      </c>
      <c r="E1353" t="s">
        <v>703</v>
      </c>
      <c r="F1353" t="s">
        <v>1656</v>
      </c>
      <c r="G1353" t="s">
        <v>24</v>
      </c>
      <c r="H1353">
        <f>31625*(1.01^10)</f>
        <v>34933.674716129353</v>
      </c>
      <c r="I1353">
        <f>167719*(1.01^10)</f>
        <v>185266.11825184184</v>
      </c>
      <c r="J1353" t="s">
        <v>4728</v>
      </c>
      <c r="K1353">
        <f t="shared" si="21"/>
        <v>813.30337044019598</v>
      </c>
    </row>
    <row r="1354" spans="1:11" x14ac:dyDescent="0.2">
      <c r="A1354" t="s">
        <v>405</v>
      </c>
      <c r="B1354" t="s">
        <v>933</v>
      </c>
      <c r="C1354" t="s">
        <v>4729</v>
      </c>
      <c r="D1354" t="s">
        <v>4730</v>
      </c>
      <c r="E1354" t="s">
        <v>3676</v>
      </c>
      <c r="F1354" t="s">
        <v>67</v>
      </c>
      <c r="G1354" t="s">
        <v>24</v>
      </c>
      <c r="H1354">
        <f>30372*(1.01^10)</f>
        <v>33549.583192989114</v>
      </c>
      <c r="I1354">
        <f>165634*(1.01^10)</f>
        <v>182962.98112035947</v>
      </c>
      <c r="J1354" t="s">
        <v>4731</v>
      </c>
      <c r="K1354">
        <f t="shared" si="21"/>
        <v>386.44446416874467</v>
      </c>
    </row>
    <row r="1355" spans="1:11" x14ac:dyDescent="0.2">
      <c r="A1355" t="s">
        <v>405</v>
      </c>
      <c r="B1355" t="s">
        <v>933</v>
      </c>
      <c r="C1355" t="s">
        <v>4732</v>
      </c>
      <c r="D1355" t="s">
        <v>4733</v>
      </c>
      <c r="E1355" t="s">
        <v>657</v>
      </c>
      <c r="F1355" t="s">
        <v>67</v>
      </c>
      <c r="G1355" t="s">
        <v>24</v>
      </c>
      <c r="H1355">
        <f>33190*(1.01^10)</f>
        <v>36662.408342397888</v>
      </c>
      <c r="I1355">
        <f>186646*(1.01^10)</f>
        <v>206173.30121949973</v>
      </c>
      <c r="J1355" t="s">
        <v>4734</v>
      </c>
      <c r="K1355">
        <f t="shared" si="21"/>
        <v>376.64016682219301</v>
      </c>
    </row>
    <row r="1356" spans="1:11" x14ac:dyDescent="0.2">
      <c r="A1356" t="s">
        <v>405</v>
      </c>
      <c r="B1356" t="s">
        <v>933</v>
      </c>
      <c r="C1356" t="s">
        <v>4735</v>
      </c>
      <c r="D1356" t="s">
        <v>4736</v>
      </c>
      <c r="E1356" t="s">
        <v>2283</v>
      </c>
      <c r="F1356" t="s">
        <v>97</v>
      </c>
      <c r="G1356" t="s">
        <v>24</v>
      </c>
      <c r="H1356">
        <f>35840*(1.01^10)</f>
        <v>39589.656974737576</v>
      </c>
      <c r="I1356">
        <f>185000*(1.01^10)</f>
        <v>204355.09320107289</v>
      </c>
      <c r="J1356" t="s">
        <v>4737</v>
      </c>
      <c r="K1356">
        <f t="shared" si="21"/>
        <v>652.77014180073377</v>
      </c>
    </row>
    <row r="1357" spans="1:11" x14ac:dyDescent="0.2">
      <c r="A1357" t="s">
        <v>405</v>
      </c>
      <c r="B1357" t="s">
        <v>242</v>
      </c>
      <c r="C1357" t="s">
        <v>4739</v>
      </c>
      <c r="D1357" t="s">
        <v>4740</v>
      </c>
      <c r="E1357" t="s">
        <v>612</v>
      </c>
      <c r="F1357" t="s">
        <v>394</v>
      </c>
      <c r="G1357" t="s">
        <v>12</v>
      </c>
      <c r="H1357">
        <f>64564*(1.01^10)</f>
        <v>71318.822905049019</v>
      </c>
      <c r="I1357">
        <f>347392*(1.01^10)</f>
        <v>383736.88939084922</v>
      </c>
      <c r="J1357" t="s">
        <v>4741</v>
      </c>
      <c r="K1357">
        <f t="shared" si="21"/>
        <v>1484.284572041106</v>
      </c>
    </row>
    <row r="1358" spans="1:11" x14ac:dyDescent="0.2">
      <c r="A1358" t="s">
        <v>405</v>
      </c>
      <c r="B1358" t="s">
        <v>242</v>
      </c>
      <c r="C1358" t="s">
        <v>4742</v>
      </c>
      <c r="D1358" t="s">
        <v>4743</v>
      </c>
      <c r="E1358" t="s">
        <v>313</v>
      </c>
      <c r="F1358" t="s">
        <v>411</v>
      </c>
      <c r="G1358" t="s">
        <v>12</v>
      </c>
      <c r="H1358">
        <f>20774*(1.01^10)</f>
        <v>22947.420033292368</v>
      </c>
      <c r="I1358">
        <f>109359*(1.01^10)</f>
        <v>120800.37101284394</v>
      </c>
      <c r="J1358" t="s">
        <v>4744</v>
      </c>
      <c r="K1358">
        <f t="shared" si="21"/>
        <v>756.62691682757259</v>
      </c>
    </row>
    <row r="1359" spans="1:11" x14ac:dyDescent="0.2">
      <c r="A1359" t="s">
        <v>405</v>
      </c>
      <c r="B1359" t="s">
        <v>242</v>
      </c>
      <c r="C1359" t="s">
        <v>4745</v>
      </c>
      <c r="D1359" t="s">
        <v>4746</v>
      </c>
      <c r="E1359" t="s">
        <v>789</v>
      </c>
      <c r="F1359" t="s">
        <v>23</v>
      </c>
      <c r="G1359" t="s">
        <v>12</v>
      </c>
      <c r="H1359">
        <f>39870*(1.01^10)</f>
        <v>44041.284140144737</v>
      </c>
      <c r="I1359">
        <f>208330*(1.01^10)</f>
        <v>230125.92738691627</v>
      </c>
      <c r="J1359" t="s">
        <v>4747</v>
      </c>
      <c r="K1359">
        <f t="shared" si="21"/>
        <v>2564.4537699149982</v>
      </c>
    </row>
    <row r="1360" spans="1:11" x14ac:dyDescent="0.2">
      <c r="A1360" t="s">
        <v>405</v>
      </c>
      <c r="B1360" t="s">
        <v>242</v>
      </c>
      <c r="C1360" t="s">
        <v>4748</v>
      </c>
      <c r="D1360" t="s">
        <v>4749</v>
      </c>
      <c r="E1360" t="s">
        <v>611</v>
      </c>
      <c r="F1360" t="s">
        <v>1387</v>
      </c>
      <c r="G1360" t="s">
        <v>24</v>
      </c>
      <c r="H1360">
        <f>26010*(1.01^10)</f>
        <v>28731.221481945435</v>
      </c>
      <c r="I1360">
        <f>131753*(1.01^10)</f>
        <v>145537.27888930246</v>
      </c>
      <c r="J1360" t="s">
        <v>4750</v>
      </c>
      <c r="K1360">
        <f t="shared" si="21"/>
        <v>505.47969456211837</v>
      </c>
    </row>
    <row r="1361" spans="1:11" x14ac:dyDescent="0.2">
      <c r="A1361" t="s">
        <v>405</v>
      </c>
      <c r="B1361" t="s">
        <v>242</v>
      </c>
      <c r="C1361" t="s">
        <v>4752</v>
      </c>
      <c r="D1361" t="s">
        <v>4753</v>
      </c>
      <c r="E1361" t="s">
        <v>287</v>
      </c>
      <c r="F1361" t="s">
        <v>56</v>
      </c>
      <c r="G1361" t="s">
        <v>12</v>
      </c>
      <c r="H1361">
        <f>41731*(1.01^10)</f>
        <v>46096.985915534984</v>
      </c>
      <c r="I1361">
        <f>212305*(1.01^10)</f>
        <v>234516.80033542583</v>
      </c>
      <c r="J1361" t="s">
        <v>4754</v>
      </c>
      <c r="K1361">
        <f t="shared" si="21"/>
        <v>696.18312871066837</v>
      </c>
    </row>
    <row r="1362" spans="1:11" x14ac:dyDescent="0.2">
      <c r="A1362" t="s">
        <v>405</v>
      </c>
      <c r="B1362" t="s">
        <v>242</v>
      </c>
      <c r="C1362" t="s">
        <v>4756</v>
      </c>
      <c r="D1362" t="s">
        <v>4757</v>
      </c>
      <c r="E1362" t="s">
        <v>674</v>
      </c>
      <c r="F1362" t="s">
        <v>726</v>
      </c>
      <c r="G1362" t="s">
        <v>12</v>
      </c>
      <c r="H1362">
        <f>14589*(1.01^10)</f>
        <v>16115.332187624066</v>
      </c>
      <c r="I1362">
        <f>74380*(1.01^10)</f>
        <v>82161.79368808541</v>
      </c>
      <c r="J1362" t="s">
        <v>4758</v>
      </c>
      <c r="K1362">
        <f t="shared" si="21"/>
        <v>1372.10008988137</v>
      </c>
    </row>
    <row r="1363" spans="1:11" x14ac:dyDescent="0.2">
      <c r="A1363" t="s">
        <v>405</v>
      </c>
      <c r="B1363" t="s">
        <v>242</v>
      </c>
      <c r="C1363" t="s">
        <v>4759</v>
      </c>
      <c r="D1363" t="s">
        <v>4760</v>
      </c>
      <c r="E1363" t="s">
        <v>619</v>
      </c>
      <c r="F1363" t="s">
        <v>77</v>
      </c>
      <c r="G1363" t="s">
        <v>17</v>
      </c>
      <c r="H1363">
        <f>21536*(1.01^10)</f>
        <v>23789.142092855705</v>
      </c>
      <c r="I1363">
        <f>110214*(1.01^10)</f>
        <v>121744.82293007051</v>
      </c>
      <c r="J1363" t="s">
        <v>4761</v>
      </c>
      <c r="K1363">
        <f t="shared" si="21"/>
        <v>1736.2767301258207</v>
      </c>
    </row>
    <row r="1364" spans="1:11" x14ac:dyDescent="0.2">
      <c r="A1364" t="s">
        <v>405</v>
      </c>
      <c r="B1364" t="s">
        <v>242</v>
      </c>
      <c r="C1364" t="s">
        <v>4762</v>
      </c>
      <c r="D1364" t="s">
        <v>4763</v>
      </c>
      <c r="E1364" t="s">
        <v>126</v>
      </c>
      <c r="F1364" t="s">
        <v>152</v>
      </c>
      <c r="G1364" t="s">
        <v>24</v>
      </c>
      <c r="H1364">
        <f>15175*(1.01^10)</f>
        <v>16762.640753115033</v>
      </c>
      <c r="I1364">
        <f>76303*(1.01^10)</f>
        <v>84285.98203525116</v>
      </c>
      <c r="J1364" t="s">
        <v>4764</v>
      </c>
      <c r="K1364">
        <f t="shared" si="21"/>
        <v>1229.9357011993109</v>
      </c>
    </row>
    <row r="1365" spans="1:11" x14ac:dyDescent="0.2">
      <c r="A1365" t="s">
        <v>405</v>
      </c>
      <c r="B1365" t="s">
        <v>242</v>
      </c>
      <c r="C1365" t="s">
        <v>4765</v>
      </c>
      <c r="D1365" t="s">
        <v>3804</v>
      </c>
      <c r="E1365" t="s">
        <v>137</v>
      </c>
      <c r="F1365" t="s">
        <v>158</v>
      </c>
      <c r="G1365" t="s">
        <v>24</v>
      </c>
      <c r="H1365">
        <f>18922*(1.01^10)</f>
        <v>20901.659857030816</v>
      </c>
      <c r="I1365">
        <f>97729*(1.01^10)</f>
        <v>107953.61569431162</v>
      </c>
      <c r="J1365" t="s">
        <v>4766</v>
      </c>
      <c r="K1365">
        <f t="shared" si="21"/>
        <v>1229.9492563773267</v>
      </c>
    </row>
    <row r="1366" spans="1:11" x14ac:dyDescent="0.2">
      <c r="A1366" t="s">
        <v>405</v>
      </c>
      <c r="B1366" t="s">
        <v>698</v>
      </c>
      <c r="C1366" t="s">
        <v>4767</v>
      </c>
      <c r="D1366" t="s">
        <v>4768</v>
      </c>
      <c r="E1366" t="s">
        <v>1506</v>
      </c>
      <c r="F1366" t="s">
        <v>11</v>
      </c>
      <c r="G1366" t="s">
        <v>12</v>
      </c>
      <c r="H1366">
        <f>19768*(1.01^10)</f>
        <v>21836.170175128696</v>
      </c>
      <c r="I1366">
        <f>128977*(1.01^10)</f>
        <v>142470.84786916096</v>
      </c>
      <c r="J1366" t="s">
        <v>4769</v>
      </c>
      <c r="K1366">
        <f t="shared" si="21"/>
        <v>645.25117097088753</v>
      </c>
    </row>
    <row r="1367" spans="1:11" x14ac:dyDescent="0.2">
      <c r="A1367" t="s">
        <v>405</v>
      </c>
      <c r="B1367" t="s">
        <v>698</v>
      </c>
      <c r="C1367" t="s">
        <v>4770</v>
      </c>
      <c r="D1367" t="s">
        <v>4771</v>
      </c>
      <c r="E1367" t="s">
        <v>44</v>
      </c>
      <c r="F1367" t="s">
        <v>158</v>
      </c>
      <c r="G1367" t="s">
        <v>24</v>
      </c>
      <c r="H1367">
        <f>8345*(1.01^10)</f>
        <v>9218.071636556504</v>
      </c>
      <c r="I1367">
        <f>51496*(1.01^10)</f>
        <v>56883.620970175398</v>
      </c>
      <c r="J1367" t="s">
        <v>4772</v>
      </c>
      <c r="K1367">
        <f t="shared" si="21"/>
        <v>819.67018001673944</v>
      </c>
    </row>
    <row r="1368" spans="1:11" x14ac:dyDescent="0.2">
      <c r="A1368" t="s">
        <v>405</v>
      </c>
      <c r="B1368" t="s">
        <v>698</v>
      </c>
      <c r="C1368" t="s">
        <v>4773</v>
      </c>
      <c r="D1368" t="s">
        <v>4774</v>
      </c>
      <c r="E1368" t="s">
        <v>839</v>
      </c>
      <c r="F1368" t="s">
        <v>998</v>
      </c>
      <c r="G1368" t="s">
        <v>24</v>
      </c>
      <c r="H1368">
        <f>48654*(1.01^10)</f>
        <v>53744.284889756753</v>
      </c>
      <c r="I1368">
        <f>290998*(1.01^10)</f>
        <v>321442.82925040973</v>
      </c>
      <c r="J1368" t="s">
        <v>4775</v>
      </c>
      <c r="K1368">
        <f t="shared" si="21"/>
        <v>844.56991222061561</v>
      </c>
    </row>
    <row r="1369" spans="1:11" x14ac:dyDescent="0.2">
      <c r="A1369" t="s">
        <v>405</v>
      </c>
      <c r="B1369" t="s">
        <v>698</v>
      </c>
      <c r="C1369" t="s">
        <v>4777</v>
      </c>
      <c r="D1369" t="s">
        <v>4778</v>
      </c>
      <c r="E1369" t="s">
        <v>91</v>
      </c>
      <c r="F1369" t="s">
        <v>44</v>
      </c>
      <c r="G1369" t="s">
        <v>12</v>
      </c>
      <c r="H1369">
        <f>36809*(1.01^10)</f>
        <v>40660.035814261035</v>
      </c>
      <c r="I1369">
        <f>221195*(1.01^10)</f>
        <v>244336.89103033143</v>
      </c>
      <c r="J1369" t="s">
        <v>4779</v>
      </c>
      <c r="K1369">
        <f t="shared" si="21"/>
        <v>1733.6780045683981</v>
      </c>
    </row>
    <row r="1370" spans="1:11" x14ac:dyDescent="0.2">
      <c r="A1370" t="s">
        <v>405</v>
      </c>
      <c r="B1370" t="s">
        <v>698</v>
      </c>
      <c r="C1370" t="s">
        <v>4781</v>
      </c>
      <c r="D1370" t="s">
        <v>4782</v>
      </c>
      <c r="E1370" t="s">
        <v>164</v>
      </c>
      <c r="F1370" t="s">
        <v>108</v>
      </c>
      <c r="G1370" t="s">
        <v>24</v>
      </c>
      <c r="H1370">
        <f>17773*(1.01^10)</f>
        <v>19632.449034933343</v>
      </c>
      <c r="I1370">
        <f>107144*(1.01^10)</f>
        <v>118353.63300505812</v>
      </c>
      <c r="J1370" t="s">
        <v>4783</v>
      </c>
      <c r="K1370">
        <f t="shared" si="21"/>
        <v>783.73205086187966</v>
      </c>
    </row>
    <row r="1371" spans="1:11" x14ac:dyDescent="0.2">
      <c r="A1371" t="s">
        <v>405</v>
      </c>
      <c r="B1371" t="s">
        <v>698</v>
      </c>
      <c r="C1371" t="s">
        <v>4784</v>
      </c>
      <c r="D1371" t="s">
        <v>4785</v>
      </c>
      <c r="E1371" t="s">
        <v>374</v>
      </c>
      <c r="F1371" t="s">
        <v>12</v>
      </c>
      <c r="G1371" t="s">
        <v>24</v>
      </c>
      <c r="H1371">
        <f>13910*(1.01^10)</f>
        <v>15365.293764469858</v>
      </c>
      <c r="I1371">
        <f>85105*(1.01^10)</f>
        <v>94008.865983120573</v>
      </c>
      <c r="J1371" t="s">
        <v>4786</v>
      </c>
      <c r="K1371">
        <f t="shared" si="21"/>
        <v>764.07925326164536</v>
      </c>
    </row>
    <row r="1372" spans="1:11" x14ac:dyDescent="0.2">
      <c r="A1372" t="s">
        <v>405</v>
      </c>
      <c r="B1372" t="s">
        <v>698</v>
      </c>
      <c r="C1372" t="s">
        <v>4787</v>
      </c>
      <c r="D1372" t="s">
        <v>4788</v>
      </c>
      <c r="E1372" t="s">
        <v>3122</v>
      </c>
      <c r="F1372" t="s">
        <v>158</v>
      </c>
      <c r="G1372" t="s">
        <v>24</v>
      </c>
      <c r="H1372">
        <f>18096*(1.01^10)</f>
        <v>19989.241981441162</v>
      </c>
      <c r="I1372">
        <f>115997*(1.01^10)</f>
        <v>128132.85268132352</v>
      </c>
      <c r="J1372" t="s">
        <v>4789</v>
      </c>
      <c r="K1372">
        <f t="shared" si="21"/>
        <v>900.8477091247297</v>
      </c>
    </row>
    <row r="1373" spans="1:11" x14ac:dyDescent="0.2">
      <c r="A1373" t="s">
        <v>405</v>
      </c>
      <c r="B1373" t="s">
        <v>1405</v>
      </c>
      <c r="C1373" t="s">
        <v>4790</v>
      </c>
      <c r="D1373" t="s">
        <v>4791</v>
      </c>
      <c r="E1373" t="s">
        <v>131</v>
      </c>
      <c r="F1373" t="s">
        <v>422</v>
      </c>
      <c r="G1373" t="s">
        <v>12</v>
      </c>
      <c r="H1373">
        <f>21797*(1.01^10)</f>
        <v>24077.44846758803</v>
      </c>
      <c r="I1373">
        <f>136167*(1.01^10)</f>
        <v>150413.08095086753</v>
      </c>
      <c r="J1373" t="s">
        <v>4792</v>
      </c>
      <c r="K1373">
        <f t="shared" si="21"/>
        <v>1505.928738034565</v>
      </c>
    </row>
    <row r="1374" spans="1:11" x14ac:dyDescent="0.2">
      <c r="A1374" t="s">
        <v>405</v>
      </c>
      <c r="B1374" t="s">
        <v>1405</v>
      </c>
      <c r="C1374" t="s">
        <v>4793</v>
      </c>
      <c r="D1374" t="s">
        <v>4794</v>
      </c>
      <c r="E1374" t="s">
        <v>427</v>
      </c>
      <c r="F1374" t="s">
        <v>5</v>
      </c>
      <c r="G1374" t="s">
        <v>24</v>
      </c>
      <c r="H1374">
        <f>10944*(1.01^10)</f>
        <v>12088.984540500225</v>
      </c>
      <c r="I1374">
        <f>67481*(1.01^10)</f>
        <v>74541.005644873512</v>
      </c>
      <c r="J1374" t="s">
        <v>4795</v>
      </c>
      <c r="K1374">
        <f t="shared" si="21"/>
        <v>1245.8098066169</v>
      </c>
    </row>
    <row r="1375" spans="1:11" x14ac:dyDescent="0.2">
      <c r="A1375" t="s">
        <v>405</v>
      </c>
      <c r="B1375" t="s">
        <v>1405</v>
      </c>
      <c r="C1375" t="s">
        <v>4797</v>
      </c>
      <c r="D1375" t="s">
        <v>4798</v>
      </c>
      <c r="E1375" t="s">
        <v>537</v>
      </c>
      <c r="F1375" t="s">
        <v>1340</v>
      </c>
      <c r="G1375" t="s">
        <v>12</v>
      </c>
      <c r="H1375">
        <f>31771*(1.01^10)</f>
        <v>35094.949546439384</v>
      </c>
      <c r="I1375">
        <f>199011*(1.01^10)</f>
        <v>219831.95380020927</v>
      </c>
      <c r="J1375" t="s">
        <v>4799</v>
      </c>
      <c r="K1375">
        <f t="shared" si="21"/>
        <v>1212.9460927375671</v>
      </c>
    </row>
    <row r="1376" spans="1:11" x14ac:dyDescent="0.2">
      <c r="A1376" t="s">
        <v>405</v>
      </c>
      <c r="B1376" t="s">
        <v>1405</v>
      </c>
      <c r="C1376" t="s">
        <v>4800</v>
      </c>
      <c r="D1376" t="s">
        <v>4801</v>
      </c>
      <c r="E1376" t="s">
        <v>61</v>
      </c>
      <c r="F1376" t="s">
        <v>12</v>
      </c>
      <c r="G1376" t="s">
        <v>24</v>
      </c>
      <c r="H1376">
        <f>7323*(1.01^10)</f>
        <v>8089.1478243862521</v>
      </c>
      <c r="I1376">
        <f>48346*(1.01^10)</f>
        <v>53404.061275130101</v>
      </c>
      <c r="J1376" t="s">
        <v>4802</v>
      </c>
      <c r="K1376">
        <f t="shared" si="21"/>
        <v>665.23927293063468</v>
      </c>
    </row>
    <row r="1377" spans="1:11" x14ac:dyDescent="0.2">
      <c r="A1377" t="s">
        <v>405</v>
      </c>
      <c r="B1377" t="s">
        <v>1405</v>
      </c>
      <c r="C1377" t="s">
        <v>4803</v>
      </c>
      <c r="D1377" t="s">
        <v>4804</v>
      </c>
      <c r="E1377" t="s">
        <v>16</v>
      </c>
      <c r="F1377" t="s">
        <v>24</v>
      </c>
      <c r="G1377" t="s">
        <v>24</v>
      </c>
      <c r="H1377">
        <f>11847*(1.01^10)</f>
        <v>13086.458319746542</v>
      </c>
      <c r="I1377">
        <f>73267*(1.01^10)</f>
        <v>80932.349262502743</v>
      </c>
      <c r="J1377" t="s">
        <v>4805</v>
      </c>
      <c r="K1377">
        <f t="shared" si="21"/>
        <v>665.50875988079895</v>
      </c>
    </row>
    <row r="1378" spans="1:11" x14ac:dyDescent="0.2">
      <c r="A1378" t="s">
        <v>405</v>
      </c>
      <c r="B1378" t="s">
        <v>1405</v>
      </c>
      <c r="C1378" t="s">
        <v>4806</v>
      </c>
      <c r="D1378" t="s">
        <v>4807</v>
      </c>
      <c r="E1378" t="s">
        <v>264</v>
      </c>
      <c r="F1378" t="s">
        <v>6</v>
      </c>
      <c r="G1378" t="s">
        <v>24</v>
      </c>
      <c r="H1378">
        <f>17019*(1.01^10)</f>
        <v>18799.563952373293</v>
      </c>
      <c r="I1378">
        <f>112070*(1.01^10)</f>
        <v>123795.00159483371</v>
      </c>
      <c r="J1378" t="s">
        <v>4808</v>
      </c>
      <c r="K1378">
        <f t="shared" si="21"/>
        <v>847.00470266157947</v>
      </c>
    </row>
    <row r="1379" spans="1:11" x14ac:dyDescent="0.2">
      <c r="A1379" t="s">
        <v>405</v>
      </c>
      <c r="B1379" t="s">
        <v>1689</v>
      </c>
      <c r="C1379" t="s">
        <v>4809</v>
      </c>
      <c r="D1379" t="s">
        <v>4810</v>
      </c>
      <c r="E1379" t="s">
        <v>789</v>
      </c>
      <c r="F1379" t="s">
        <v>24</v>
      </c>
      <c r="G1379" t="s">
        <v>24</v>
      </c>
      <c r="H1379">
        <f>12380*(1.01^10)</f>
        <v>13675.221912590714</v>
      </c>
      <c r="I1379">
        <f>73951*(1.01^10)</f>
        <v>81687.910796284006</v>
      </c>
      <c r="J1379" t="s">
        <v>4811</v>
      </c>
      <c r="K1379">
        <f t="shared" si="21"/>
        <v>1064.7401137400107</v>
      </c>
    </row>
    <row r="1380" spans="1:11" x14ac:dyDescent="0.2">
      <c r="A1380" t="s">
        <v>405</v>
      </c>
      <c r="B1380" t="s">
        <v>1689</v>
      </c>
      <c r="C1380" t="s">
        <v>4812</v>
      </c>
      <c r="D1380" t="s">
        <v>4813</v>
      </c>
      <c r="E1380" t="s">
        <v>674</v>
      </c>
      <c r="F1380" t="s">
        <v>11</v>
      </c>
      <c r="G1380" t="s">
        <v>24</v>
      </c>
      <c r="H1380">
        <f>16805*(1.01^10)</f>
        <v>18563.174817535295</v>
      </c>
      <c r="I1380">
        <f>94467*(1.01^10)</f>
        <v>104350.33832122028</v>
      </c>
      <c r="J1380" t="s">
        <v>4814</v>
      </c>
      <c r="K1380">
        <f t="shared" si="21"/>
        <v>1262.259682930197</v>
      </c>
    </row>
    <row r="1381" spans="1:11" x14ac:dyDescent="0.2">
      <c r="A1381" t="s">
        <v>405</v>
      </c>
      <c r="B1381" t="s">
        <v>1689</v>
      </c>
      <c r="C1381" t="s">
        <v>4815</v>
      </c>
      <c r="D1381" t="s">
        <v>4816</v>
      </c>
      <c r="E1381" t="s">
        <v>232</v>
      </c>
      <c r="F1381" t="s">
        <v>274</v>
      </c>
      <c r="G1381" t="s">
        <v>24</v>
      </c>
      <c r="H1381">
        <f>28664*(1.01^10)</f>
        <v>31662.888602786774</v>
      </c>
      <c r="I1381">
        <f>176140*(1.01^10)</f>
        <v>194568.14116992961</v>
      </c>
      <c r="J1381" t="s">
        <v>4817</v>
      </c>
      <c r="K1381">
        <f t="shared" si="21"/>
        <v>1072.2996248167294</v>
      </c>
    </row>
    <row r="1382" spans="1:11" x14ac:dyDescent="0.2">
      <c r="A1382" t="s">
        <v>405</v>
      </c>
      <c r="B1382" t="s">
        <v>1689</v>
      </c>
      <c r="C1382" t="s">
        <v>4818</v>
      </c>
      <c r="D1382" t="s">
        <v>4819</v>
      </c>
      <c r="E1382" t="s">
        <v>232</v>
      </c>
      <c r="F1382" t="s">
        <v>92</v>
      </c>
      <c r="G1382" t="s">
        <v>24</v>
      </c>
      <c r="H1382">
        <f>25823*(1.01^10)</f>
        <v>28524.65714449354</v>
      </c>
      <c r="I1382">
        <f>152156*(1.01^10)</f>
        <v>168074.88411406727</v>
      </c>
      <c r="J1382" t="s">
        <v>4820</v>
      </c>
      <c r="K1382">
        <f t="shared" si="21"/>
        <v>1361.8044838175131</v>
      </c>
    </row>
    <row r="1383" spans="1:11" x14ac:dyDescent="0.2">
      <c r="A1383" t="s">
        <v>405</v>
      </c>
      <c r="B1383" t="s">
        <v>1689</v>
      </c>
      <c r="C1383" t="s">
        <v>4822</v>
      </c>
      <c r="D1383" t="s">
        <v>4823</v>
      </c>
      <c r="E1383" t="s">
        <v>264</v>
      </c>
      <c r="F1383" t="s">
        <v>92</v>
      </c>
      <c r="G1383" t="s">
        <v>24</v>
      </c>
      <c r="H1383">
        <f>24397*(1.01^10)</f>
        <v>26949.465993657162</v>
      </c>
      <c r="I1383">
        <f>144040*(1.01^10)</f>
        <v>159109.77094422994</v>
      </c>
      <c r="J1383" t="s">
        <v>4824</v>
      </c>
      <c r="K1383">
        <f t="shared" si="21"/>
        <v>1261.8198998565917</v>
      </c>
    </row>
    <row r="1384" spans="1:11" x14ac:dyDescent="0.2">
      <c r="A1384" t="s">
        <v>405</v>
      </c>
      <c r="B1384" t="s">
        <v>1689</v>
      </c>
      <c r="C1384" t="s">
        <v>4825</v>
      </c>
      <c r="D1384" t="s">
        <v>4826</v>
      </c>
      <c r="E1384" t="s">
        <v>220</v>
      </c>
      <c r="F1384" t="s">
        <v>158</v>
      </c>
      <c r="G1384" t="s">
        <v>24</v>
      </c>
      <c r="H1384">
        <f>10391*(1.01^10)</f>
        <v>11478.128505147828</v>
      </c>
      <c r="I1384">
        <f>61984*(1.01^10)</f>
        <v>68468.897821488121</v>
      </c>
      <c r="J1384" t="s">
        <v>4827</v>
      </c>
      <c r="K1384">
        <f t="shared" si="21"/>
        <v>931.8255581907689</v>
      </c>
    </row>
    <row r="1385" spans="1:11" x14ac:dyDescent="0.2">
      <c r="A1385" t="s">
        <v>405</v>
      </c>
      <c r="B1385" t="s">
        <v>1689</v>
      </c>
      <c r="C1385" t="s">
        <v>4828</v>
      </c>
      <c r="D1385" t="s">
        <v>4829</v>
      </c>
      <c r="E1385" t="s">
        <v>220</v>
      </c>
      <c r="F1385" t="s">
        <v>158</v>
      </c>
      <c r="G1385" t="s">
        <v>24</v>
      </c>
      <c r="H1385">
        <f>16435*(1.01^10)</f>
        <v>18154.464631133149</v>
      </c>
      <c r="I1385">
        <f>97083*(1.01^10)</f>
        <v>107240.029801296</v>
      </c>
      <c r="J1385" t="s">
        <v>4830</v>
      </c>
      <c r="K1385">
        <f t="shared" si="21"/>
        <v>790.3342428761548</v>
      </c>
    </row>
    <row r="1386" spans="1:11" x14ac:dyDescent="0.2">
      <c r="A1386" t="s">
        <v>405</v>
      </c>
      <c r="B1386" t="s">
        <v>1689</v>
      </c>
      <c r="C1386" t="s">
        <v>4831</v>
      </c>
      <c r="D1386" t="s">
        <v>4832</v>
      </c>
      <c r="E1386" t="s">
        <v>612</v>
      </c>
      <c r="F1386" t="s">
        <v>24</v>
      </c>
      <c r="G1386" t="s">
        <v>24</v>
      </c>
      <c r="H1386">
        <f>27006*(1.01^10)</f>
        <v>29831.425118854997</v>
      </c>
      <c r="I1386">
        <f>163938*(1.01^10)</f>
        <v>181089.54199566209</v>
      </c>
      <c r="J1386" t="s">
        <v>4833</v>
      </c>
      <c r="K1386">
        <f t="shared" si="21"/>
        <v>1351.5610340627793</v>
      </c>
    </row>
    <row r="1387" spans="1:11" x14ac:dyDescent="0.2">
      <c r="A1387" t="s">
        <v>405</v>
      </c>
      <c r="B1387" t="s">
        <v>1689</v>
      </c>
      <c r="C1387" t="s">
        <v>4834</v>
      </c>
      <c r="D1387" t="s">
        <v>4835</v>
      </c>
      <c r="E1387" t="s">
        <v>777</v>
      </c>
      <c r="F1387" t="s">
        <v>11</v>
      </c>
      <c r="G1387" t="s">
        <v>12</v>
      </c>
      <c r="H1387">
        <f>81737*(1.01^10)</f>
        <v>90288.498664735642</v>
      </c>
      <c r="I1387">
        <f>494489*(1.01^10)</f>
        <v>546223.49017246126</v>
      </c>
      <c r="J1387" t="s">
        <v>4836</v>
      </c>
      <c r="K1387">
        <f t="shared" si="21"/>
        <v>3189.8909708113647</v>
      </c>
    </row>
    <row r="1388" spans="1:11" x14ac:dyDescent="0.2">
      <c r="A1388" t="s">
        <v>405</v>
      </c>
      <c r="B1388" t="s">
        <v>1689</v>
      </c>
      <c r="C1388" t="s">
        <v>4837</v>
      </c>
      <c r="D1388" t="s">
        <v>4838</v>
      </c>
      <c r="E1388" t="s">
        <v>51</v>
      </c>
      <c r="F1388" t="s">
        <v>17</v>
      </c>
      <c r="G1388" t="s">
        <v>24</v>
      </c>
      <c r="H1388">
        <f>28459*(1.01^10)</f>
        <v>31436.441067077474</v>
      </c>
      <c r="I1388">
        <f>172351*(1.01^10)</f>
        <v>190382.72793674655</v>
      </c>
      <c r="J1388" t="s">
        <v>4839</v>
      </c>
      <c r="K1388">
        <f t="shared" si="21"/>
        <v>1489.9397889498839</v>
      </c>
    </row>
    <row r="1389" spans="1:11" x14ac:dyDescent="0.2">
      <c r="A1389" t="s">
        <v>405</v>
      </c>
      <c r="B1389" t="s">
        <v>1689</v>
      </c>
      <c r="C1389" t="s">
        <v>4840</v>
      </c>
      <c r="D1389" t="s">
        <v>4841</v>
      </c>
      <c r="E1389" t="s">
        <v>1656</v>
      </c>
      <c r="F1389" t="s">
        <v>24</v>
      </c>
      <c r="G1389" t="s">
        <v>24</v>
      </c>
      <c r="H1389">
        <f>11586*(1.01^10)</f>
        <v>12798.151945014219</v>
      </c>
      <c r="I1389">
        <f>68393*(1.01^10)</f>
        <v>75548.42102324852</v>
      </c>
      <c r="J1389" t="s">
        <v>4842</v>
      </c>
      <c r="K1389">
        <f t="shared" si="21"/>
        <v>1602.861294823927</v>
      </c>
    </row>
    <row r="1390" spans="1:11" x14ac:dyDescent="0.2">
      <c r="A1390" t="s">
        <v>405</v>
      </c>
      <c r="B1390" t="s">
        <v>1689</v>
      </c>
      <c r="C1390" t="s">
        <v>4843</v>
      </c>
      <c r="D1390" t="s">
        <v>4844</v>
      </c>
      <c r="E1390" t="s">
        <v>61</v>
      </c>
      <c r="F1390" t="s">
        <v>24</v>
      </c>
      <c r="G1390" t="s">
        <v>24</v>
      </c>
      <c r="H1390">
        <f>11315*(1.01^10)</f>
        <v>12498.799349027782</v>
      </c>
      <c r="I1390">
        <f>70316*(1.01^10)</f>
        <v>77672.60937041427</v>
      </c>
      <c r="J1390" t="s">
        <v>4845</v>
      </c>
      <c r="K1390">
        <f t="shared" si="21"/>
        <v>1231.9651218871916</v>
      </c>
    </row>
    <row r="1391" spans="1:11" x14ac:dyDescent="0.2">
      <c r="A1391" t="s">
        <v>405</v>
      </c>
      <c r="B1391" t="s">
        <v>1689</v>
      </c>
      <c r="C1391" t="s">
        <v>4847</v>
      </c>
      <c r="D1391" t="s">
        <v>4848</v>
      </c>
      <c r="E1391" t="s">
        <v>164</v>
      </c>
      <c r="F1391" t="s">
        <v>24</v>
      </c>
      <c r="G1391" t="s">
        <v>12</v>
      </c>
      <c r="H1391">
        <f>33209*(1.01^10)</f>
        <v>36683.3961627807</v>
      </c>
      <c r="I1391">
        <f>197309*(1.01^10)</f>
        <v>217951.88694275939</v>
      </c>
      <c r="J1391" t="s">
        <v>4849</v>
      </c>
      <c r="K1391">
        <f t="shared" si="21"/>
        <v>1556.0410762098652</v>
      </c>
    </row>
    <row r="1392" spans="1:11" x14ac:dyDescent="0.2">
      <c r="A1392" t="s">
        <v>405</v>
      </c>
      <c r="B1392" t="s">
        <v>1689</v>
      </c>
      <c r="C1392" t="s">
        <v>4850</v>
      </c>
      <c r="D1392" t="s">
        <v>4851</v>
      </c>
      <c r="E1392" t="s">
        <v>337</v>
      </c>
      <c r="F1392" t="s">
        <v>12</v>
      </c>
      <c r="G1392" t="s">
        <v>12</v>
      </c>
      <c r="H1392">
        <f>28128*(1.01^10)</f>
        <v>31070.811143566367</v>
      </c>
      <c r="I1392">
        <f>171214*(1.01^10)</f>
        <v>189126.77258015401</v>
      </c>
      <c r="J1392" t="s">
        <v>4852</v>
      </c>
      <c r="K1392">
        <f t="shared" si="21"/>
        <v>1410.0253387928005</v>
      </c>
    </row>
    <row r="1393" spans="1:11" x14ac:dyDescent="0.2">
      <c r="A1393" t="s">
        <v>405</v>
      </c>
      <c r="B1393" t="s">
        <v>1689</v>
      </c>
      <c r="C1393" t="s">
        <v>4853</v>
      </c>
      <c r="D1393" t="s">
        <v>4854</v>
      </c>
      <c r="E1393" t="s">
        <v>1060</v>
      </c>
      <c r="F1393" t="s">
        <v>24</v>
      </c>
      <c r="G1393" t="s">
        <v>12</v>
      </c>
      <c r="H1393">
        <f>36696*(1.01^10)</f>
        <v>40535.21351408957</v>
      </c>
      <c r="I1393">
        <f>232337*(1.01^10)</f>
        <v>256644.59075166308</v>
      </c>
      <c r="J1393" t="s">
        <v>4855</v>
      </c>
      <c r="K1393">
        <f t="shared" si="21"/>
        <v>1157.2717508666653</v>
      </c>
    </row>
    <row r="1394" spans="1:11" x14ac:dyDescent="0.2">
      <c r="A1394" t="s">
        <v>405</v>
      </c>
      <c r="B1394" t="s">
        <v>1689</v>
      </c>
      <c r="C1394" t="s">
        <v>4856</v>
      </c>
      <c r="D1394" t="s">
        <v>4857</v>
      </c>
      <c r="E1394" t="s">
        <v>103</v>
      </c>
      <c r="F1394" t="s">
        <v>24</v>
      </c>
      <c r="G1394" t="s">
        <v>24</v>
      </c>
      <c r="H1394">
        <f>15251*(1.01^10)</f>
        <v>16846.592034646284</v>
      </c>
      <c r="I1394">
        <f>87387*(1.01^10)</f>
        <v>96529.613673308952</v>
      </c>
      <c r="J1394" t="s">
        <v>4858</v>
      </c>
      <c r="K1394">
        <f t="shared" si="21"/>
        <v>1071.4233252261311</v>
      </c>
    </row>
    <row r="1395" spans="1:11" x14ac:dyDescent="0.2">
      <c r="A1395" t="s">
        <v>405</v>
      </c>
      <c r="B1395" t="s">
        <v>1689</v>
      </c>
      <c r="C1395" t="s">
        <v>4859</v>
      </c>
      <c r="D1395" t="s">
        <v>4860</v>
      </c>
      <c r="E1395" t="s">
        <v>23</v>
      </c>
      <c r="F1395" t="s">
        <v>12</v>
      </c>
      <c r="G1395" t="s">
        <v>12</v>
      </c>
      <c r="H1395">
        <f>21709*(1.01^10)</f>
        <v>23980.241720551843</v>
      </c>
      <c r="I1395">
        <f>130183*(1.01^10)</f>
        <v>143803.02215240686</v>
      </c>
      <c r="J1395" t="s">
        <v>4861</v>
      </c>
      <c r="K1395">
        <f t="shared" si="21"/>
        <v>735.66394487416289</v>
      </c>
    </row>
    <row r="1396" spans="1:11" x14ac:dyDescent="0.2">
      <c r="A1396" t="s">
        <v>405</v>
      </c>
      <c r="B1396" t="s">
        <v>1689</v>
      </c>
      <c r="C1396" t="s">
        <v>4862</v>
      </c>
      <c r="D1396" t="s">
        <v>4863</v>
      </c>
      <c r="E1396" t="s">
        <v>2795</v>
      </c>
      <c r="F1396" t="s">
        <v>12</v>
      </c>
      <c r="G1396" t="s">
        <v>12</v>
      </c>
      <c r="H1396">
        <f>24796*(1.01^10)</f>
        <v>27390.210221696234</v>
      </c>
      <c r="I1396">
        <f>151249*(1.01^10)</f>
        <v>167072.99184631932</v>
      </c>
      <c r="J1396" t="s">
        <v>4864</v>
      </c>
      <c r="K1396">
        <f t="shared" si="21"/>
        <v>1548.8665161144977</v>
      </c>
    </row>
    <row r="1397" spans="1:11" x14ac:dyDescent="0.2">
      <c r="A1397" t="s">
        <v>405</v>
      </c>
      <c r="B1397" t="s">
        <v>1689</v>
      </c>
      <c r="C1397" t="s">
        <v>4865</v>
      </c>
      <c r="D1397" t="s">
        <v>4866</v>
      </c>
      <c r="E1397" t="s">
        <v>829</v>
      </c>
      <c r="F1397" t="s">
        <v>5</v>
      </c>
      <c r="G1397" t="s">
        <v>24</v>
      </c>
      <c r="H1397">
        <f>15584*(1.01^10)</f>
        <v>17214.431202408214</v>
      </c>
      <c r="I1397">
        <f>96845*(1.01^10)</f>
        <v>106977.12973544812</v>
      </c>
      <c r="J1397" t="s">
        <v>4867</v>
      </c>
      <c r="K1397">
        <f t="shared" si="21"/>
        <v>1331.1159903875237</v>
      </c>
    </row>
    <row r="1398" spans="1:11" x14ac:dyDescent="0.2">
      <c r="A1398" t="s">
        <v>405</v>
      </c>
      <c r="B1398" t="s">
        <v>1689</v>
      </c>
      <c r="C1398" t="s">
        <v>4868</v>
      </c>
      <c r="D1398" t="s">
        <v>4869</v>
      </c>
      <c r="E1398" t="s">
        <v>318</v>
      </c>
      <c r="F1398" t="s">
        <v>24</v>
      </c>
      <c r="G1398" t="s">
        <v>24</v>
      </c>
      <c r="H1398">
        <f>7158*(1.01^10)</f>
        <v>7906.8851736934039</v>
      </c>
      <c r="I1398">
        <f>41821*(1.01^10)</f>
        <v>46196.401906821993</v>
      </c>
      <c r="J1398" t="s">
        <v>4870</v>
      </c>
      <c r="K1398">
        <f t="shared" si="21"/>
        <v>1085.7432065956709</v>
      </c>
    </row>
    <row r="1399" spans="1:11" x14ac:dyDescent="0.2">
      <c r="A1399" t="s">
        <v>405</v>
      </c>
      <c r="B1399" t="s">
        <v>2216</v>
      </c>
      <c r="C1399" t="s">
        <v>4871</v>
      </c>
      <c r="D1399" t="s">
        <v>4872</v>
      </c>
      <c r="E1399" t="s">
        <v>72</v>
      </c>
      <c r="F1399" t="s">
        <v>744</v>
      </c>
      <c r="G1399" t="s">
        <v>12</v>
      </c>
      <c r="H1399">
        <f>41388*(1.01^10)</f>
        <v>45718.100526518945</v>
      </c>
      <c r="I1399">
        <f>268998*(1.01^10)</f>
        <v>297141.14249136328</v>
      </c>
      <c r="J1399" t="s">
        <v>4873</v>
      </c>
      <c r="K1399">
        <f t="shared" si="21"/>
        <v>1715.4152168101434</v>
      </c>
    </row>
    <row r="1400" spans="1:11" x14ac:dyDescent="0.2">
      <c r="A1400" t="s">
        <v>405</v>
      </c>
      <c r="B1400" t="s">
        <v>2216</v>
      </c>
      <c r="C1400" t="s">
        <v>4875</v>
      </c>
      <c r="D1400" t="s">
        <v>4876</v>
      </c>
      <c r="E1400" t="s">
        <v>47</v>
      </c>
      <c r="F1400" t="s">
        <v>5</v>
      </c>
      <c r="G1400" t="s">
        <v>5</v>
      </c>
      <c r="H1400">
        <f>64547*(1.01^10)</f>
        <v>71300.044328917036</v>
      </c>
      <c r="I1400">
        <f>397817*(1.01^10)</f>
        <v>439437.46006470924</v>
      </c>
      <c r="J1400" t="s">
        <v>4877</v>
      </c>
      <c r="K1400">
        <f t="shared" si="21"/>
        <v>4122.5575534899299</v>
      </c>
    </row>
    <row r="1401" spans="1:11" x14ac:dyDescent="0.2">
      <c r="A1401" t="s">
        <v>405</v>
      </c>
      <c r="B1401" t="s">
        <v>2216</v>
      </c>
      <c r="C1401" t="s">
        <v>4878</v>
      </c>
      <c r="D1401" t="s">
        <v>4879</v>
      </c>
      <c r="E1401" t="s">
        <v>726</v>
      </c>
      <c r="F1401" t="s">
        <v>152</v>
      </c>
      <c r="G1401" t="s">
        <v>17</v>
      </c>
      <c r="H1401">
        <f>308154*(1.01^10)</f>
        <v>340393.72643396439</v>
      </c>
      <c r="I1401">
        <f>1771140*(1.01^10)</f>
        <v>1956440.4312008012</v>
      </c>
      <c r="J1401" t="s">
        <v>4880</v>
      </c>
      <c r="K1401">
        <f t="shared" si="21"/>
        <v>13478.519784420725</v>
      </c>
    </row>
    <row r="1402" spans="1:11" x14ac:dyDescent="0.2">
      <c r="A1402" t="s">
        <v>405</v>
      </c>
      <c r="B1402" t="s">
        <v>2216</v>
      </c>
      <c r="C1402" t="s">
        <v>4881</v>
      </c>
      <c r="D1402" t="s">
        <v>4882</v>
      </c>
      <c r="E1402" t="s">
        <v>520</v>
      </c>
      <c r="F1402" t="s">
        <v>92</v>
      </c>
      <c r="G1402" t="s">
        <v>24</v>
      </c>
      <c r="H1402">
        <f>18533*(1.01^10)</f>
        <v>20471.961850245858</v>
      </c>
      <c r="I1402">
        <f>106866*(1.01^10)</f>
        <v>118046.5480541938</v>
      </c>
      <c r="J1402" t="s">
        <v>4883</v>
      </c>
      <c r="K1402">
        <f t="shared" si="21"/>
        <v>1732.1780643040952</v>
      </c>
    </row>
    <row r="1403" spans="1:11" x14ac:dyDescent="0.2">
      <c r="A1403" t="s">
        <v>405</v>
      </c>
      <c r="B1403" t="s">
        <v>2216</v>
      </c>
      <c r="C1403" t="s">
        <v>4884</v>
      </c>
      <c r="D1403" t="s">
        <v>4885</v>
      </c>
      <c r="E1403" t="s">
        <v>612</v>
      </c>
      <c r="F1403" t="s">
        <v>12</v>
      </c>
      <c r="G1403" t="s">
        <v>11</v>
      </c>
      <c r="H1403">
        <f>46966*(1.01^10)</f>
        <v>51879.682742062643</v>
      </c>
      <c r="I1403">
        <f>273129*(1.01^10)</f>
        <v>301704.33649143693</v>
      </c>
      <c r="J1403" t="s">
        <v>4886</v>
      </c>
      <c r="K1403">
        <f t="shared" si="21"/>
        <v>2611.2216746214463</v>
      </c>
    </row>
    <row r="1404" spans="1:11" x14ac:dyDescent="0.2">
      <c r="A1404" t="s">
        <v>405</v>
      </c>
      <c r="B1404" t="s">
        <v>2216</v>
      </c>
      <c r="C1404" t="s">
        <v>4887</v>
      </c>
      <c r="D1404" t="s">
        <v>4888</v>
      </c>
      <c r="E1404" t="s">
        <v>484</v>
      </c>
      <c r="F1404" t="s">
        <v>17</v>
      </c>
      <c r="G1404" t="s">
        <v>17</v>
      </c>
      <c r="H1404">
        <f>42546*(1.01^10)</f>
        <v>46997.252947745117</v>
      </c>
      <c r="I1404">
        <f>261427*(1.01^10)</f>
        <v>288778.04837987502</v>
      </c>
      <c r="J1404" t="s">
        <v>4889</v>
      </c>
      <c r="K1404">
        <f t="shared" si="21"/>
        <v>1428.6771954671783</v>
      </c>
    </row>
    <row r="1405" spans="1:11" x14ac:dyDescent="0.2">
      <c r="A1405" t="s">
        <v>405</v>
      </c>
      <c r="B1405" t="s">
        <v>2216</v>
      </c>
      <c r="C1405" t="s">
        <v>4890</v>
      </c>
      <c r="D1405" t="s">
        <v>4891</v>
      </c>
      <c r="E1405" t="s">
        <v>611</v>
      </c>
      <c r="F1405" t="s">
        <v>11</v>
      </c>
      <c r="G1405" t="s">
        <v>12</v>
      </c>
      <c r="H1405">
        <f>34674*(1.01^10)</f>
        <v>38301.667576508116</v>
      </c>
      <c r="I1405">
        <f>203594*(1.01^10)</f>
        <v>224894.43700096881</v>
      </c>
      <c r="J1405" t="s">
        <v>4892</v>
      </c>
      <c r="K1405">
        <f t="shared" si="21"/>
        <v>1358.7748649807327</v>
      </c>
    </row>
    <row r="1406" spans="1:11" x14ac:dyDescent="0.2">
      <c r="A1406" t="s">
        <v>405</v>
      </c>
      <c r="B1406" t="s">
        <v>2216</v>
      </c>
      <c r="C1406" t="s">
        <v>4893</v>
      </c>
      <c r="D1406" t="s">
        <v>4894</v>
      </c>
      <c r="E1406" t="s">
        <v>232</v>
      </c>
      <c r="F1406" t="s">
        <v>12</v>
      </c>
      <c r="G1406" t="s">
        <v>12</v>
      </c>
      <c r="H1406">
        <f>27760*(1.01^10)</f>
        <v>30664.310201415043</v>
      </c>
      <c r="I1406">
        <f>169510*(1.01^10)</f>
        <v>187244.49647845331</v>
      </c>
      <c r="J1406" t="s">
        <v>4895</v>
      </c>
      <c r="K1406">
        <f t="shared" si="21"/>
        <v>1257.423246235574</v>
      </c>
    </row>
    <row r="1407" spans="1:11" x14ac:dyDescent="0.2">
      <c r="A1407" t="s">
        <v>405</v>
      </c>
      <c r="B1407" t="s">
        <v>2216</v>
      </c>
      <c r="C1407" t="s">
        <v>4896</v>
      </c>
      <c r="D1407" t="s">
        <v>4897</v>
      </c>
      <c r="E1407" t="s">
        <v>180</v>
      </c>
      <c r="F1407" t="s">
        <v>5</v>
      </c>
      <c r="G1407" t="s">
        <v>24</v>
      </c>
      <c r="H1407">
        <f>20495*(1.01^10)</f>
        <v>22639.230460302642</v>
      </c>
      <c r="I1407">
        <f>124966*(1.01^10)</f>
        <v>138040.2085241366</v>
      </c>
      <c r="J1407" t="s">
        <v>4898</v>
      </c>
      <c r="K1407">
        <f t="shared" si="21"/>
        <v>1215.7077811894465</v>
      </c>
    </row>
    <row r="1408" spans="1:11" x14ac:dyDescent="0.2">
      <c r="A1408" t="s">
        <v>405</v>
      </c>
      <c r="B1408" t="s">
        <v>2216</v>
      </c>
      <c r="C1408" t="s">
        <v>4899</v>
      </c>
      <c r="D1408" t="s">
        <v>4900</v>
      </c>
      <c r="E1408" t="s">
        <v>503</v>
      </c>
      <c r="F1408" t="s">
        <v>5</v>
      </c>
      <c r="G1408" t="s">
        <v>12</v>
      </c>
      <c r="H1408">
        <f>41991*(1.01^10)</f>
        <v>46384.187668141902</v>
      </c>
      <c r="I1408">
        <f>254904*(1.01^10)</f>
        <v>281572.59825581772</v>
      </c>
      <c r="J1408" t="s">
        <v>4901</v>
      </c>
      <c r="K1408">
        <f t="shared" si="21"/>
        <v>1161.3978784442731</v>
      </c>
    </row>
    <row r="1409" spans="1:11" x14ac:dyDescent="0.2">
      <c r="A1409" t="s">
        <v>405</v>
      </c>
      <c r="B1409" t="s">
        <v>2216</v>
      </c>
      <c r="C1409" t="s">
        <v>4902</v>
      </c>
      <c r="D1409" t="s">
        <v>4903</v>
      </c>
      <c r="E1409" t="s">
        <v>611</v>
      </c>
      <c r="F1409" t="s">
        <v>92</v>
      </c>
      <c r="G1409" t="s">
        <v>12</v>
      </c>
      <c r="H1409">
        <f>41831*(1.01^10)</f>
        <v>46207.448128076103</v>
      </c>
      <c r="I1409">
        <f>241216*(1.01^10)</f>
        <v>266452.53060318914</v>
      </c>
      <c r="J1409" t="s">
        <v>4904</v>
      </c>
      <c r="K1409">
        <f t="shared" si="21"/>
        <v>1330.5976297779519</v>
      </c>
    </row>
    <row r="1410" spans="1:11" x14ac:dyDescent="0.2">
      <c r="A1410" t="s">
        <v>405</v>
      </c>
      <c r="B1410" t="s">
        <v>2216</v>
      </c>
      <c r="C1410" t="s">
        <v>4905</v>
      </c>
      <c r="D1410" t="s">
        <v>4906</v>
      </c>
      <c r="E1410" t="s">
        <v>1960</v>
      </c>
      <c r="F1410" t="s">
        <v>6</v>
      </c>
      <c r="G1410" t="s">
        <v>24</v>
      </c>
      <c r="H1410">
        <f>36636*(1.01^10)</f>
        <v>40468.936186564897</v>
      </c>
      <c r="I1410">
        <f>211376*(1.01^10)</f>
        <v>233490.60638091882</v>
      </c>
      <c r="J1410" t="s">
        <v>4907</v>
      </c>
      <c r="K1410">
        <f t="shared" si="21"/>
        <v>1216.2840530323037</v>
      </c>
    </row>
    <row r="1411" spans="1:11" x14ac:dyDescent="0.2">
      <c r="A1411" t="s">
        <v>405</v>
      </c>
      <c r="B1411" t="s">
        <v>2216</v>
      </c>
      <c r="C1411" t="s">
        <v>4908</v>
      </c>
      <c r="D1411" t="s">
        <v>4909</v>
      </c>
      <c r="E1411" t="s">
        <v>1229</v>
      </c>
      <c r="F1411" t="s">
        <v>158</v>
      </c>
      <c r="G1411" t="s">
        <v>24</v>
      </c>
      <c r="H1411">
        <f>26097*(1.01^10)</f>
        <v>28827.323606856211</v>
      </c>
      <c r="I1411">
        <f>138143*(1.01^10)</f>
        <v>152595.81427068007</v>
      </c>
      <c r="J1411" t="s">
        <v>4910</v>
      </c>
      <c r="K1411">
        <f t="shared" ref="K1411:K1474" si="22">I1411/J1411</f>
        <v>1228.141805954941</v>
      </c>
    </row>
    <row r="1412" spans="1:11" x14ac:dyDescent="0.2">
      <c r="A1412" t="s">
        <v>405</v>
      </c>
      <c r="B1412" t="s">
        <v>2216</v>
      </c>
      <c r="C1412" t="s">
        <v>4911</v>
      </c>
      <c r="D1412" t="s">
        <v>4912</v>
      </c>
      <c r="E1412" t="s">
        <v>535</v>
      </c>
      <c r="F1412" t="s">
        <v>318</v>
      </c>
      <c r="G1412" t="s">
        <v>12</v>
      </c>
      <c r="H1412">
        <f>31800*(1.01^10)</f>
        <v>35126.983588076313</v>
      </c>
      <c r="I1412">
        <f>198008*(1.01^10)</f>
        <v>218724.01780842184</v>
      </c>
      <c r="J1412" t="s">
        <v>4913</v>
      </c>
      <c r="K1412">
        <f t="shared" si="22"/>
        <v>1605.60483759816</v>
      </c>
    </row>
    <row r="1413" spans="1:11" x14ac:dyDescent="0.2">
      <c r="A1413" t="s">
        <v>405</v>
      </c>
      <c r="B1413" t="s">
        <v>2216</v>
      </c>
      <c r="C1413" t="s">
        <v>4914</v>
      </c>
      <c r="D1413" t="s">
        <v>4915</v>
      </c>
      <c r="E1413" t="s">
        <v>220</v>
      </c>
      <c r="F1413" t="s">
        <v>5</v>
      </c>
      <c r="G1413" t="s">
        <v>24</v>
      </c>
      <c r="H1413">
        <f>13346*(1.01^10)</f>
        <v>14742.286885737938</v>
      </c>
      <c r="I1413">
        <f>75086*(1.01^10)</f>
        <v>82941.656908625722</v>
      </c>
      <c r="J1413" t="s">
        <v>4916</v>
      </c>
      <c r="K1413">
        <f t="shared" si="22"/>
        <v>1250.3934987961911</v>
      </c>
    </row>
    <row r="1414" spans="1:11" x14ac:dyDescent="0.2">
      <c r="A1414" t="s">
        <v>405</v>
      </c>
      <c r="B1414" t="s">
        <v>2216</v>
      </c>
      <c r="C1414" t="s">
        <v>4917</v>
      </c>
      <c r="D1414" t="s">
        <v>4918</v>
      </c>
      <c r="E1414" t="s">
        <v>374</v>
      </c>
      <c r="F1414" t="s">
        <v>11</v>
      </c>
      <c r="G1414" t="s">
        <v>12</v>
      </c>
      <c r="H1414">
        <f>18071*(1.01^10)</f>
        <v>19961.626428305881</v>
      </c>
      <c r="I1414">
        <f>109504*(1.01^10)</f>
        <v>120960.54122102856</v>
      </c>
      <c r="J1414" t="s">
        <v>4919</v>
      </c>
      <c r="K1414">
        <f t="shared" si="22"/>
        <v>2184.6151928563322</v>
      </c>
    </row>
    <row r="1415" spans="1:11" x14ac:dyDescent="0.2">
      <c r="A1415" t="s">
        <v>405</v>
      </c>
      <c r="B1415" t="s">
        <v>2216</v>
      </c>
      <c r="C1415" t="s">
        <v>4920</v>
      </c>
      <c r="D1415" t="s">
        <v>4921</v>
      </c>
      <c r="E1415" t="s">
        <v>619</v>
      </c>
      <c r="F1415" t="s">
        <v>92</v>
      </c>
      <c r="G1415" t="s">
        <v>12</v>
      </c>
      <c r="H1415">
        <f>34535*(1.01^10)</f>
        <v>38148.125101075959</v>
      </c>
      <c r="I1415">
        <f>227382*(1.01^10)</f>
        <v>251171.18812025056</v>
      </c>
      <c r="J1415" t="s">
        <v>4922</v>
      </c>
      <c r="K1415">
        <f t="shared" si="22"/>
        <v>1556.012873477682</v>
      </c>
    </row>
    <row r="1416" spans="1:11" x14ac:dyDescent="0.2">
      <c r="A1416" t="s">
        <v>405</v>
      </c>
      <c r="B1416" t="s">
        <v>2216</v>
      </c>
      <c r="C1416" t="s">
        <v>4923</v>
      </c>
      <c r="D1416" t="s">
        <v>4924</v>
      </c>
      <c r="E1416" t="s">
        <v>796</v>
      </c>
      <c r="F1416" t="s">
        <v>11</v>
      </c>
      <c r="G1416" t="s">
        <v>24</v>
      </c>
      <c r="H1416">
        <f>13681*(1.01^10)</f>
        <v>15112.335297750693</v>
      </c>
      <c r="I1416">
        <f>90964*(1.01^10)</f>
        <v>100480.84701590483</v>
      </c>
      <c r="J1416" t="s">
        <v>4925</v>
      </c>
      <c r="K1416">
        <f t="shared" si="22"/>
        <v>1825.411327303287</v>
      </c>
    </row>
    <row r="1417" spans="1:11" x14ac:dyDescent="0.2">
      <c r="A1417" t="s">
        <v>405</v>
      </c>
      <c r="B1417" t="s">
        <v>2216</v>
      </c>
      <c r="C1417" t="s">
        <v>4926</v>
      </c>
      <c r="D1417" t="s">
        <v>4927</v>
      </c>
      <c r="E1417" t="s">
        <v>726</v>
      </c>
      <c r="F1417" t="s">
        <v>92</v>
      </c>
      <c r="G1417" t="s">
        <v>24</v>
      </c>
      <c r="H1417">
        <f>10946*(1.01^10)</f>
        <v>12091.193784751047</v>
      </c>
      <c r="I1417">
        <f>66165*(1.01^10)</f>
        <v>73087.322927832356</v>
      </c>
      <c r="J1417" t="s">
        <v>4928</v>
      </c>
      <c r="K1417">
        <f t="shared" si="22"/>
        <v>1162.589196323976</v>
      </c>
    </row>
    <row r="1418" spans="1:11" x14ac:dyDescent="0.2">
      <c r="A1418" t="s">
        <v>405</v>
      </c>
      <c r="B1418" t="s">
        <v>2216</v>
      </c>
      <c r="C1418" t="s">
        <v>4929</v>
      </c>
      <c r="D1418" t="s">
        <v>4930</v>
      </c>
      <c r="E1418" t="s">
        <v>789</v>
      </c>
      <c r="F1418" t="s">
        <v>17</v>
      </c>
      <c r="G1418" t="s">
        <v>12</v>
      </c>
      <c r="H1418">
        <f>33090*(1.01^10)</f>
        <v>36551.946129856762</v>
      </c>
      <c r="I1418">
        <f>216348*(1.01^10)</f>
        <v>238982.78758846331</v>
      </c>
      <c r="J1418" t="s">
        <v>4931</v>
      </c>
      <c r="K1418">
        <f t="shared" si="22"/>
        <v>1965.8690282279013</v>
      </c>
    </row>
    <row r="1419" spans="1:11" x14ac:dyDescent="0.2">
      <c r="A1419" t="s">
        <v>405</v>
      </c>
      <c r="B1419" t="s">
        <v>2216</v>
      </c>
      <c r="C1419" t="s">
        <v>4932</v>
      </c>
      <c r="D1419" t="s">
        <v>4933</v>
      </c>
      <c r="E1419" t="s">
        <v>3122</v>
      </c>
      <c r="F1419" t="s">
        <v>411</v>
      </c>
      <c r="G1419" t="s">
        <v>24</v>
      </c>
      <c r="H1419">
        <f>23968*(1.01^10)</f>
        <v>26475.583101855755</v>
      </c>
      <c r="I1419">
        <f>154613*(1.01^10)</f>
        <v>170788.94067620259</v>
      </c>
      <c r="J1419" t="s">
        <v>4934</v>
      </c>
      <c r="K1419">
        <f t="shared" si="22"/>
        <v>806.25675077424535</v>
      </c>
    </row>
    <row r="1420" spans="1:11" x14ac:dyDescent="0.2">
      <c r="A1420" t="s">
        <v>405</v>
      </c>
      <c r="B1420" t="s">
        <v>2216</v>
      </c>
      <c r="C1420" t="s">
        <v>4935</v>
      </c>
      <c r="D1420" t="s">
        <v>4936</v>
      </c>
      <c r="E1420" t="s">
        <v>422</v>
      </c>
      <c r="F1420" t="s">
        <v>11</v>
      </c>
      <c r="G1420" t="s">
        <v>24</v>
      </c>
      <c r="H1420">
        <f>11106*(1.01^10)</f>
        <v>12267.93332481684</v>
      </c>
      <c r="I1420">
        <f>74898*(1.01^10)</f>
        <v>82733.987949048416</v>
      </c>
      <c r="J1420" t="s">
        <v>4937</v>
      </c>
      <c r="K1420">
        <f t="shared" si="22"/>
        <v>659.27784103768488</v>
      </c>
    </row>
    <row r="1421" spans="1:11" x14ac:dyDescent="0.2">
      <c r="A1421" t="s">
        <v>405</v>
      </c>
      <c r="B1421" t="s">
        <v>2216</v>
      </c>
      <c r="C1421" t="s">
        <v>4939</v>
      </c>
      <c r="D1421" t="s">
        <v>4940</v>
      </c>
      <c r="E1421" t="s">
        <v>796</v>
      </c>
      <c r="F1421" t="s">
        <v>744</v>
      </c>
      <c r="G1421" t="s">
        <v>17</v>
      </c>
      <c r="H1421">
        <f>33417*(1.01^10)</f>
        <v>36913.157564866226</v>
      </c>
      <c r="I1421">
        <f>202411*(1.01^10)</f>
        <v>223587.66902660736</v>
      </c>
      <c r="J1421" t="s">
        <v>4941</v>
      </c>
      <c r="K1421">
        <f t="shared" si="22"/>
        <v>1073.9289496851138</v>
      </c>
    </row>
    <row r="1422" spans="1:11" x14ac:dyDescent="0.2">
      <c r="A1422" t="s">
        <v>405</v>
      </c>
      <c r="B1422" t="s">
        <v>2726</v>
      </c>
      <c r="C1422" t="s">
        <v>4942</v>
      </c>
      <c r="D1422" t="s">
        <v>452</v>
      </c>
      <c r="E1422" t="s">
        <v>484</v>
      </c>
      <c r="F1422" t="s">
        <v>91</v>
      </c>
      <c r="G1422" t="s">
        <v>12</v>
      </c>
      <c r="H1422">
        <f>30111*(1.01^10)</f>
        <v>33261.276818256789</v>
      </c>
      <c r="I1422">
        <f>212253*(1.01^10)</f>
        <v>234459.35998490444</v>
      </c>
      <c r="J1422" t="s">
        <v>4943</v>
      </c>
      <c r="K1422">
        <f t="shared" si="22"/>
        <v>1241.2357121514876</v>
      </c>
    </row>
    <row r="1423" spans="1:11" x14ac:dyDescent="0.2">
      <c r="A1423" t="s">
        <v>405</v>
      </c>
      <c r="B1423" t="s">
        <v>2726</v>
      </c>
      <c r="C1423" t="s">
        <v>4944</v>
      </c>
      <c r="D1423" t="s">
        <v>4945</v>
      </c>
      <c r="E1423" t="s">
        <v>2395</v>
      </c>
      <c r="F1423" t="s">
        <v>77</v>
      </c>
      <c r="G1423" t="s">
        <v>12</v>
      </c>
      <c r="H1423">
        <f>68857*(1.01^10)</f>
        <v>76060.965689439327</v>
      </c>
      <c r="I1423">
        <f>462618*(1.01^10)</f>
        <v>511018.07841348072</v>
      </c>
      <c r="J1423" t="s">
        <v>4946</v>
      </c>
      <c r="K1423">
        <f t="shared" si="22"/>
        <v>2672.6573532811562</v>
      </c>
    </row>
    <row r="1424" spans="1:11" x14ac:dyDescent="0.2">
      <c r="A1424" t="s">
        <v>405</v>
      </c>
      <c r="B1424" t="s">
        <v>2726</v>
      </c>
      <c r="C1424" t="s">
        <v>4947</v>
      </c>
      <c r="D1424" t="s">
        <v>4057</v>
      </c>
      <c r="E1424" t="s">
        <v>612</v>
      </c>
      <c r="F1424" t="s">
        <v>422</v>
      </c>
      <c r="G1424" t="s">
        <v>24</v>
      </c>
      <c r="H1424">
        <f>35185*(1.01^10)</f>
        <v>38866.129482593242</v>
      </c>
      <c r="I1424">
        <f>240636*(1.01^10)</f>
        <v>265811.84977045067</v>
      </c>
      <c r="J1424" t="s">
        <v>4948</v>
      </c>
      <c r="K1424">
        <f t="shared" si="22"/>
        <v>1158.8546825147698</v>
      </c>
    </row>
    <row r="1425" spans="1:11" x14ac:dyDescent="0.2">
      <c r="A1425" t="s">
        <v>405</v>
      </c>
      <c r="B1425" t="s">
        <v>2726</v>
      </c>
      <c r="C1425" t="s">
        <v>4949</v>
      </c>
      <c r="D1425" t="s">
        <v>4950</v>
      </c>
      <c r="E1425" t="s">
        <v>51</v>
      </c>
      <c r="F1425" t="s">
        <v>108</v>
      </c>
      <c r="G1425" t="s">
        <v>12</v>
      </c>
      <c r="H1425">
        <f>32104*(1.01^10)</f>
        <v>35462.788714201321</v>
      </c>
      <c r="I1425">
        <f>202175*(1.01^10)</f>
        <v>223326.97820501032</v>
      </c>
      <c r="J1425" t="s">
        <v>4951</v>
      </c>
      <c r="K1425">
        <f t="shared" si="22"/>
        <v>1304.062366675154</v>
      </c>
    </row>
    <row r="1426" spans="1:11" x14ac:dyDescent="0.2">
      <c r="A1426" t="s">
        <v>405</v>
      </c>
      <c r="B1426" t="s">
        <v>2726</v>
      </c>
      <c r="C1426" t="s">
        <v>4952</v>
      </c>
      <c r="D1426" t="s">
        <v>4953</v>
      </c>
      <c r="E1426" t="s">
        <v>764</v>
      </c>
      <c r="F1426" t="s">
        <v>6</v>
      </c>
      <c r="G1426" t="s">
        <v>24</v>
      </c>
      <c r="H1426">
        <f>17011*(1.01^10)</f>
        <v>18790.726975370006</v>
      </c>
      <c r="I1426">
        <f>109712*(1.01^10)</f>
        <v>121190.3026231141</v>
      </c>
      <c r="J1426" t="s">
        <v>4954</v>
      </c>
      <c r="K1426">
        <f t="shared" si="22"/>
        <v>908.03688609238247</v>
      </c>
    </row>
    <row r="1427" spans="1:11" x14ac:dyDescent="0.2">
      <c r="A1427" t="s">
        <v>405</v>
      </c>
      <c r="B1427" t="s">
        <v>2726</v>
      </c>
      <c r="C1427" t="s">
        <v>4955</v>
      </c>
      <c r="D1427" t="s">
        <v>4956</v>
      </c>
      <c r="E1427" t="s">
        <v>537</v>
      </c>
      <c r="F1427" t="s">
        <v>6</v>
      </c>
      <c r="G1427" t="s">
        <v>24</v>
      </c>
      <c r="H1427">
        <f>24336*(1.01^10)</f>
        <v>26882.084044007079</v>
      </c>
      <c r="I1427">
        <f>157809*(1.01^10)</f>
        <v>174319.31298901682</v>
      </c>
      <c r="J1427" t="s">
        <v>4957</v>
      </c>
      <c r="K1427">
        <f t="shared" si="22"/>
        <v>1034.2134858883546</v>
      </c>
    </row>
    <row r="1428" spans="1:11" x14ac:dyDescent="0.2">
      <c r="A1428" t="s">
        <v>405</v>
      </c>
      <c r="B1428" t="s">
        <v>2726</v>
      </c>
      <c r="C1428" t="s">
        <v>4958</v>
      </c>
      <c r="D1428" t="s">
        <v>4959</v>
      </c>
      <c r="E1428" t="s">
        <v>1054</v>
      </c>
      <c r="F1428" t="s">
        <v>796</v>
      </c>
      <c r="G1428" t="s">
        <v>12</v>
      </c>
      <c r="H1428">
        <f>26346*(1.01^10)</f>
        <v>29102.374516083601</v>
      </c>
      <c r="I1428">
        <f>178429*(1.01^10)</f>
        <v>197096.62121499586</v>
      </c>
      <c r="J1428" t="s">
        <v>4960</v>
      </c>
      <c r="K1428">
        <f t="shared" si="22"/>
        <v>1368.9726420767893</v>
      </c>
    </row>
    <row r="1429" spans="1:11" x14ac:dyDescent="0.2">
      <c r="A1429" t="s">
        <v>405</v>
      </c>
      <c r="B1429" t="s">
        <v>2726</v>
      </c>
      <c r="C1429" t="s">
        <v>4961</v>
      </c>
      <c r="D1429" t="s">
        <v>4698</v>
      </c>
      <c r="E1429" t="s">
        <v>1229</v>
      </c>
      <c r="F1429" t="s">
        <v>382</v>
      </c>
      <c r="G1429" t="s">
        <v>12</v>
      </c>
      <c r="H1429">
        <f>40958*(1.01^10)</f>
        <v>45243.113012592126</v>
      </c>
      <c r="I1429">
        <f>263959*(1.01^10)</f>
        <v>291574.95160141622</v>
      </c>
      <c r="J1429" t="s">
        <v>4962</v>
      </c>
      <c r="K1429">
        <f t="shared" si="22"/>
        <v>1131.1923900099334</v>
      </c>
    </row>
    <row r="1430" spans="1:11" x14ac:dyDescent="0.2">
      <c r="A1430" t="s">
        <v>405</v>
      </c>
      <c r="B1430" t="s">
        <v>2726</v>
      </c>
      <c r="C1430" t="s">
        <v>4963</v>
      </c>
      <c r="D1430" t="s">
        <v>4964</v>
      </c>
      <c r="E1430" t="s">
        <v>977</v>
      </c>
      <c r="F1430" t="s">
        <v>744</v>
      </c>
      <c r="G1430" t="s">
        <v>12</v>
      </c>
      <c r="H1430">
        <f>38749*(1.01^10)</f>
        <v>42803.002737558774</v>
      </c>
      <c r="I1430">
        <f>254911*(1.01^10)</f>
        <v>281580.33061069559</v>
      </c>
      <c r="J1430" t="s">
        <v>4965</v>
      </c>
      <c r="K1430">
        <f t="shared" si="22"/>
        <v>1290.4424863077772</v>
      </c>
    </row>
    <row r="1431" spans="1:11" x14ac:dyDescent="0.2">
      <c r="A1431" t="s">
        <v>405</v>
      </c>
      <c r="B1431" t="s">
        <v>2726</v>
      </c>
      <c r="C1431" t="s">
        <v>4966</v>
      </c>
      <c r="D1431" t="s">
        <v>4967</v>
      </c>
      <c r="E1431" t="s">
        <v>1106</v>
      </c>
      <c r="F1431" t="s">
        <v>411</v>
      </c>
      <c r="G1431" t="s">
        <v>24</v>
      </c>
      <c r="H1431">
        <f>15961*(1.01^10)</f>
        <v>17630.87374368824</v>
      </c>
      <c r="I1431">
        <f>101363*(1.01^10)</f>
        <v>111967.81249805595</v>
      </c>
      <c r="J1431" t="s">
        <v>4968</v>
      </c>
      <c r="K1431">
        <f t="shared" si="22"/>
        <v>1086.4523040078536</v>
      </c>
    </row>
    <row r="1432" spans="1:11" x14ac:dyDescent="0.2">
      <c r="A1432" t="s">
        <v>405</v>
      </c>
      <c r="B1432" t="s">
        <v>2726</v>
      </c>
      <c r="C1432" t="s">
        <v>4969</v>
      </c>
      <c r="D1432" t="s">
        <v>4970</v>
      </c>
      <c r="E1432" t="s">
        <v>2795</v>
      </c>
      <c r="F1432" t="s">
        <v>158</v>
      </c>
      <c r="G1432" t="s">
        <v>24</v>
      </c>
      <c r="H1432">
        <f>16427*(1.01^10)</f>
        <v>18145.627654129861</v>
      </c>
      <c r="I1432">
        <f>103262*(1.01^10)</f>
        <v>114065.48991421182</v>
      </c>
      <c r="J1432" t="s">
        <v>4971</v>
      </c>
      <c r="K1432">
        <f t="shared" si="22"/>
        <v>964.94298827911689</v>
      </c>
    </row>
    <row r="1433" spans="1:11" x14ac:dyDescent="0.2">
      <c r="A1433" t="s">
        <v>405</v>
      </c>
      <c r="B1433" t="s">
        <v>2726</v>
      </c>
      <c r="C1433" t="s">
        <v>4972</v>
      </c>
      <c r="D1433" t="s">
        <v>4973</v>
      </c>
      <c r="E1433" t="s">
        <v>998</v>
      </c>
      <c r="F1433" t="s">
        <v>92</v>
      </c>
      <c r="G1433" t="s">
        <v>24</v>
      </c>
      <c r="H1433">
        <f>23117*(1.01^10)</f>
        <v>25535.549673130819</v>
      </c>
      <c r="I1433">
        <f>148373*(1.01^10)</f>
        <v>163896.09861363668</v>
      </c>
      <c r="J1433" t="s">
        <v>4974</v>
      </c>
      <c r="K1433">
        <f t="shared" si="22"/>
        <v>1041.0465648829788</v>
      </c>
    </row>
    <row r="1434" spans="1:11" x14ac:dyDescent="0.2">
      <c r="A1434" t="s">
        <v>405</v>
      </c>
      <c r="B1434" t="s">
        <v>2726</v>
      </c>
      <c r="C1434" t="s">
        <v>4975</v>
      </c>
      <c r="D1434" t="s">
        <v>4976</v>
      </c>
      <c r="E1434" t="s">
        <v>287</v>
      </c>
      <c r="F1434" t="s">
        <v>61</v>
      </c>
      <c r="G1434" t="s">
        <v>24</v>
      </c>
      <c r="H1434">
        <f>28316*(1.01^10)</f>
        <v>31278.480103143673</v>
      </c>
      <c r="I1434">
        <f>182631*(1.01^10)</f>
        <v>201738.24338597374</v>
      </c>
      <c r="J1434" t="s">
        <v>4977</v>
      </c>
      <c r="K1434">
        <f t="shared" si="22"/>
        <v>1036.6502683573976</v>
      </c>
    </row>
    <row r="1435" spans="1:11" x14ac:dyDescent="0.2">
      <c r="A1435" t="s">
        <v>405</v>
      </c>
      <c r="B1435" t="s">
        <v>2726</v>
      </c>
      <c r="C1435" t="s">
        <v>4978</v>
      </c>
      <c r="D1435" t="s">
        <v>4979</v>
      </c>
      <c r="E1435" t="s">
        <v>91</v>
      </c>
      <c r="F1435" t="s">
        <v>92</v>
      </c>
      <c r="G1435" t="s">
        <v>24</v>
      </c>
      <c r="H1435">
        <f>18612*(1.01^10)</f>
        <v>20559.226998153343</v>
      </c>
      <c r="I1435">
        <f>110276*(1.01^10)</f>
        <v>121813.30950184602</v>
      </c>
      <c r="J1435" t="s">
        <v>4980</v>
      </c>
      <c r="K1435">
        <f t="shared" si="22"/>
        <v>1023.6090218707636</v>
      </c>
    </row>
    <row r="1436" spans="1:11" x14ac:dyDescent="0.2">
      <c r="A1436" t="s">
        <v>405</v>
      </c>
      <c r="B1436" t="s">
        <v>1263</v>
      </c>
      <c r="C1436" t="s">
        <v>4981</v>
      </c>
      <c r="D1436" t="s">
        <v>4982</v>
      </c>
      <c r="E1436" t="s">
        <v>172</v>
      </c>
      <c r="F1436" t="s">
        <v>425</v>
      </c>
      <c r="G1436" t="s">
        <v>24</v>
      </c>
      <c r="H1436">
        <f>30388*(1.01^10)</f>
        <v>33567.257146995689</v>
      </c>
      <c r="I1436">
        <f>207225*(1.01^10)</f>
        <v>228905.31993833691</v>
      </c>
      <c r="J1436" t="s">
        <v>4983</v>
      </c>
      <c r="K1436">
        <f t="shared" si="22"/>
        <v>1296.7561123960495</v>
      </c>
    </row>
    <row r="1437" spans="1:11" x14ac:dyDescent="0.2">
      <c r="A1437" t="s">
        <v>405</v>
      </c>
      <c r="B1437" t="s">
        <v>1263</v>
      </c>
      <c r="C1437" t="s">
        <v>4984</v>
      </c>
      <c r="D1437" t="s">
        <v>4985</v>
      </c>
      <c r="E1437" t="s">
        <v>405</v>
      </c>
      <c r="F1437" t="s">
        <v>152</v>
      </c>
      <c r="G1437" t="s">
        <v>24</v>
      </c>
      <c r="H1437">
        <f>5920*(1.01^10)</f>
        <v>6539.3629824343325</v>
      </c>
      <c r="I1437">
        <f>42256*(1.01^10)</f>
        <v>46676.91253137587</v>
      </c>
      <c r="J1437" t="s">
        <v>4986</v>
      </c>
      <c r="K1437">
        <f t="shared" si="22"/>
        <v>690.12564537249114</v>
      </c>
    </row>
    <row r="1438" spans="1:11" x14ac:dyDescent="0.2">
      <c r="A1438" t="s">
        <v>405</v>
      </c>
      <c r="B1438" t="s">
        <v>1263</v>
      </c>
      <c r="C1438" t="s">
        <v>4988</v>
      </c>
      <c r="D1438" t="s">
        <v>4989</v>
      </c>
      <c r="E1438" t="s">
        <v>137</v>
      </c>
      <c r="F1438" t="s">
        <v>16</v>
      </c>
      <c r="G1438" t="s">
        <v>24</v>
      </c>
      <c r="H1438">
        <f>28826*(1.01^10)</f>
        <v>31841.837387103387</v>
      </c>
      <c r="I1438">
        <f>196070*(1.01^10)</f>
        <v>216583.26012937492</v>
      </c>
      <c r="J1438" t="s">
        <v>4990</v>
      </c>
      <c r="K1438">
        <f t="shared" si="22"/>
        <v>1183.8636251597654</v>
      </c>
    </row>
    <row r="1439" spans="1:11" x14ac:dyDescent="0.2">
      <c r="A1439" t="s">
        <v>405</v>
      </c>
      <c r="B1439" t="s">
        <v>1263</v>
      </c>
      <c r="C1439" t="s">
        <v>4991</v>
      </c>
      <c r="D1439" t="s">
        <v>4992</v>
      </c>
      <c r="E1439" t="s">
        <v>422</v>
      </c>
      <c r="F1439" t="s">
        <v>11</v>
      </c>
      <c r="G1439" t="s">
        <v>24</v>
      </c>
      <c r="H1439">
        <f>7929*(1.01^10)</f>
        <v>8758.5488323854424</v>
      </c>
      <c r="I1439">
        <f>48743*(1.01^10)</f>
        <v>53842.596258918355</v>
      </c>
      <c r="J1439" t="s">
        <v>4993</v>
      </c>
      <c r="K1439">
        <f t="shared" si="22"/>
        <v>934.71227602822785</v>
      </c>
    </row>
    <row r="1440" spans="1:11" x14ac:dyDescent="0.2">
      <c r="A1440" t="s">
        <v>405</v>
      </c>
      <c r="B1440" t="s">
        <v>1263</v>
      </c>
      <c r="C1440" t="s">
        <v>4994</v>
      </c>
      <c r="D1440" t="s">
        <v>4995</v>
      </c>
      <c r="E1440" t="s">
        <v>274</v>
      </c>
      <c r="F1440" t="s">
        <v>24</v>
      </c>
      <c r="G1440" t="s">
        <v>24</v>
      </c>
      <c r="H1440">
        <f>5304*(1.01^10)</f>
        <v>5858.9157531810297</v>
      </c>
      <c r="I1440">
        <f>33820*(1.01^10)</f>
        <v>37358.320281406945</v>
      </c>
      <c r="J1440" t="s">
        <v>4996</v>
      </c>
      <c r="K1440">
        <f t="shared" si="22"/>
        <v>842.37718041308608</v>
      </c>
    </row>
    <row r="1441" spans="1:11" x14ac:dyDescent="0.2">
      <c r="A1441" t="s">
        <v>405</v>
      </c>
      <c r="B1441" t="s">
        <v>1263</v>
      </c>
      <c r="C1441" t="s">
        <v>4997</v>
      </c>
      <c r="D1441" t="s">
        <v>4998</v>
      </c>
      <c r="E1441" t="s">
        <v>1106</v>
      </c>
      <c r="F1441" t="s">
        <v>422</v>
      </c>
      <c r="G1441" t="s">
        <v>12</v>
      </c>
      <c r="H1441">
        <f>37519*(1.01^10)</f>
        <v>41444.317523302991</v>
      </c>
      <c r="I1441">
        <f>232682*(1.01^10)</f>
        <v>257025.68538492994</v>
      </c>
      <c r="J1441" t="s">
        <v>4999</v>
      </c>
      <c r="K1441">
        <f t="shared" si="22"/>
        <v>1306.8971422843611</v>
      </c>
    </row>
    <row r="1442" spans="1:11" x14ac:dyDescent="0.2">
      <c r="A1442" t="s">
        <v>405</v>
      </c>
      <c r="B1442" t="s">
        <v>1263</v>
      </c>
      <c r="C1442" t="s">
        <v>5000</v>
      </c>
      <c r="D1442" t="s">
        <v>5001</v>
      </c>
      <c r="E1442" t="s">
        <v>611</v>
      </c>
      <c r="F1442" t="s">
        <v>1506</v>
      </c>
      <c r="G1442" t="s">
        <v>17</v>
      </c>
      <c r="H1442">
        <f>45847*(1.01^10)</f>
        <v>50643.610583727503</v>
      </c>
      <c r="I1442">
        <f>291189*(1.01^10)</f>
        <v>321653.81207636331</v>
      </c>
      <c r="J1442" t="s">
        <v>5002</v>
      </c>
      <c r="K1442">
        <f t="shared" si="22"/>
        <v>1848.3037841892769</v>
      </c>
    </row>
    <row r="1443" spans="1:11" x14ac:dyDescent="0.2">
      <c r="A1443" t="s">
        <v>405</v>
      </c>
      <c r="B1443" t="s">
        <v>1263</v>
      </c>
      <c r="C1443" t="s">
        <v>5003</v>
      </c>
      <c r="D1443" t="s">
        <v>4178</v>
      </c>
      <c r="E1443" t="s">
        <v>164</v>
      </c>
      <c r="F1443" t="s">
        <v>77</v>
      </c>
      <c r="G1443" t="s">
        <v>24</v>
      </c>
      <c r="H1443">
        <f>15817*(1.01^10)</f>
        <v>17471.808157629024</v>
      </c>
      <c r="I1443">
        <f>103670*(1.01^10)</f>
        <v>114516.1757413796</v>
      </c>
      <c r="J1443" t="s">
        <v>5004</v>
      </c>
      <c r="K1443">
        <f t="shared" si="22"/>
        <v>964.75469605595026</v>
      </c>
    </row>
    <row r="1444" spans="1:11" x14ac:dyDescent="0.2">
      <c r="A1444" t="s">
        <v>405</v>
      </c>
      <c r="B1444" t="s">
        <v>1263</v>
      </c>
      <c r="C1444" t="s">
        <v>5005</v>
      </c>
      <c r="D1444" t="s">
        <v>5006</v>
      </c>
      <c r="E1444" t="s">
        <v>123</v>
      </c>
      <c r="F1444" t="s">
        <v>51</v>
      </c>
      <c r="G1444" t="s">
        <v>24</v>
      </c>
      <c r="H1444">
        <f>32976*(1.01^10)</f>
        <v>36426.01920755989</v>
      </c>
      <c r="I1444">
        <f>213534*(1.01^10)</f>
        <v>235874.38092755619</v>
      </c>
      <c r="J1444" t="s">
        <v>5007</v>
      </c>
      <c r="K1444">
        <f t="shared" si="22"/>
        <v>827.59295581710023</v>
      </c>
    </row>
    <row r="1445" spans="1:11" x14ac:dyDescent="0.2">
      <c r="A1445" t="s">
        <v>405</v>
      </c>
      <c r="B1445" t="s">
        <v>1263</v>
      </c>
      <c r="C1445" t="s">
        <v>5008</v>
      </c>
      <c r="D1445" t="s">
        <v>5009</v>
      </c>
      <c r="E1445" t="s">
        <v>1295</v>
      </c>
      <c r="F1445" t="s">
        <v>520</v>
      </c>
      <c r="G1445" t="s">
        <v>24</v>
      </c>
      <c r="H1445">
        <f>25577*(1.01^10)</f>
        <v>28252.920101642383</v>
      </c>
      <c r="I1445">
        <f>170629*(1.01^10)</f>
        <v>188480.56863678846</v>
      </c>
      <c r="J1445" t="s">
        <v>5010</v>
      </c>
      <c r="K1445">
        <f t="shared" si="22"/>
        <v>840.22480414276083</v>
      </c>
    </row>
    <row r="1446" spans="1:11" x14ac:dyDescent="0.2">
      <c r="A1446" t="s">
        <v>405</v>
      </c>
      <c r="B1446" t="s">
        <v>1263</v>
      </c>
      <c r="C1446" t="s">
        <v>5011</v>
      </c>
      <c r="D1446" t="s">
        <v>5012</v>
      </c>
      <c r="E1446" t="s">
        <v>36</v>
      </c>
      <c r="F1446" t="s">
        <v>382</v>
      </c>
      <c r="G1446" t="s">
        <v>24</v>
      </c>
      <c r="H1446">
        <f>25557*(1.01^10)</f>
        <v>28230.82765913416</v>
      </c>
      <c r="I1446">
        <f>166534*(1.01^10)</f>
        <v>183957.14103322956</v>
      </c>
      <c r="J1446" t="s">
        <v>5013</v>
      </c>
      <c r="K1446">
        <f t="shared" si="22"/>
        <v>1049.8518021125115</v>
      </c>
    </row>
    <row r="1447" spans="1:11" x14ac:dyDescent="0.2">
      <c r="A1447" t="s">
        <v>405</v>
      </c>
      <c r="B1447" t="s">
        <v>651</v>
      </c>
      <c r="C1447" t="s">
        <v>5015</v>
      </c>
      <c r="D1447" t="s">
        <v>2029</v>
      </c>
      <c r="E1447" t="s">
        <v>1060</v>
      </c>
      <c r="F1447" t="s">
        <v>520</v>
      </c>
      <c r="G1447" t="s">
        <v>12</v>
      </c>
      <c r="H1447">
        <f>19720*(1.01^10)</f>
        <v>21783.148313108959</v>
      </c>
      <c r="I1447">
        <f>132663*(1.01^10)</f>
        <v>146542.48502342665</v>
      </c>
      <c r="J1447" t="s">
        <v>5016</v>
      </c>
      <c r="K1447">
        <f t="shared" si="22"/>
        <v>865.51701281830162</v>
      </c>
    </row>
    <row r="1448" spans="1:11" x14ac:dyDescent="0.2">
      <c r="A1448" t="s">
        <v>405</v>
      </c>
      <c r="B1448" t="s">
        <v>651</v>
      </c>
      <c r="C1448" t="s">
        <v>5017</v>
      </c>
      <c r="D1448" t="s">
        <v>5018</v>
      </c>
      <c r="E1448" t="s">
        <v>537</v>
      </c>
      <c r="F1448" t="s">
        <v>61</v>
      </c>
      <c r="G1448" t="s">
        <v>24</v>
      </c>
      <c r="H1448">
        <f>15263*(1.01^10)</f>
        <v>16859.84750015122</v>
      </c>
      <c r="I1448">
        <f>106530*(1.01^10)</f>
        <v>117675.39502005564</v>
      </c>
      <c r="J1448" t="s">
        <v>5019</v>
      </c>
      <c r="K1448">
        <f t="shared" si="22"/>
        <v>645.78546385035486</v>
      </c>
    </row>
    <row r="1449" spans="1:11" x14ac:dyDescent="0.2">
      <c r="A1449" t="s">
        <v>405</v>
      </c>
      <c r="B1449" t="s">
        <v>651</v>
      </c>
      <c r="C1449" t="s">
        <v>5021</v>
      </c>
      <c r="D1449" t="s">
        <v>5022</v>
      </c>
      <c r="E1449" t="s">
        <v>386</v>
      </c>
      <c r="F1449" t="s">
        <v>56</v>
      </c>
      <c r="G1449" t="s">
        <v>24</v>
      </c>
      <c r="H1449">
        <f>25005*(1.01^10)</f>
        <v>27621.076245907174</v>
      </c>
      <c r="I1449">
        <f>165145*(1.01^10)</f>
        <v>182422.82090103341</v>
      </c>
      <c r="J1449" t="s">
        <v>5023</v>
      </c>
      <c r="K1449">
        <f t="shared" si="22"/>
        <v>869.09704762139802</v>
      </c>
    </row>
    <row r="1450" spans="1:11" x14ac:dyDescent="0.2">
      <c r="A1450" t="s">
        <v>405</v>
      </c>
      <c r="B1450" t="s">
        <v>651</v>
      </c>
      <c r="C1450" t="s">
        <v>5024</v>
      </c>
      <c r="D1450" t="s">
        <v>5025</v>
      </c>
      <c r="E1450" t="s">
        <v>467</v>
      </c>
      <c r="F1450" t="s">
        <v>91</v>
      </c>
      <c r="G1450" t="s">
        <v>12</v>
      </c>
      <c r="H1450">
        <f>33187*(1.01^10)</f>
        <v>36659.094476021652</v>
      </c>
      <c r="I1450">
        <f>225181*(1.01^10)</f>
        <v>248739.91482222048</v>
      </c>
      <c r="J1450" t="s">
        <v>5026</v>
      </c>
      <c r="K1450">
        <f t="shared" si="22"/>
        <v>894.71305626462822</v>
      </c>
    </row>
    <row r="1451" spans="1:11" x14ac:dyDescent="0.2">
      <c r="A1451" t="s">
        <v>405</v>
      </c>
      <c r="B1451" t="s">
        <v>651</v>
      </c>
      <c r="C1451" t="s">
        <v>5027</v>
      </c>
      <c r="D1451" t="s">
        <v>5028</v>
      </c>
      <c r="E1451" t="s">
        <v>1060</v>
      </c>
      <c r="F1451" t="s">
        <v>411</v>
      </c>
      <c r="G1451" t="s">
        <v>24</v>
      </c>
      <c r="H1451">
        <f>20584*(1.01^10)</f>
        <v>22737.541829464237</v>
      </c>
      <c r="I1451">
        <f>136962*(1.01^10)</f>
        <v>151291.25554056943</v>
      </c>
      <c r="J1451" t="s">
        <v>5029</v>
      </c>
      <c r="K1451">
        <f t="shared" si="22"/>
        <v>879.98590911866279</v>
      </c>
    </row>
    <row r="1452" spans="1:11" x14ac:dyDescent="0.2">
      <c r="A1452" t="s">
        <v>405</v>
      </c>
      <c r="B1452" t="s">
        <v>651</v>
      </c>
      <c r="C1452" t="s">
        <v>5031</v>
      </c>
      <c r="D1452" t="s">
        <v>5032</v>
      </c>
      <c r="E1452" t="s">
        <v>1215</v>
      </c>
      <c r="F1452" t="s">
        <v>61</v>
      </c>
      <c r="G1452" t="s">
        <v>24</v>
      </c>
      <c r="H1452">
        <f>20143*(1.01^10)</f>
        <v>22250.403472157897</v>
      </c>
      <c r="I1452">
        <f>133682*(1.01^10)</f>
        <v>147668.09496922066</v>
      </c>
      <c r="J1452" t="s">
        <v>5033</v>
      </c>
      <c r="K1452">
        <f t="shared" si="22"/>
        <v>724.72037030684828</v>
      </c>
    </row>
    <row r="1453" spans="1:11" x14ac:dyDescent="0.2">
      <c r="A1453" t="s">
        <v>405</v>
      </c>
      <c r="B1453" t="s">
        <v>651</v>
      </c>
      <c r="C1453" t="s">
        <v>5034</v>
      </c>
      <c r="D1453" t="s">
        <v>5035</v>
      </c>
      <c r="E1453" t="s">
        <v>413</v>
      </c>
      <c r="F1453" t="s">
        <v>427</v>
      </c>
      <c r="G1453" t="s">
        <v>24</v>
      </c>
      <c r="H1453">
        <f>30189*(1.01^10)</f>
        <v>33347.437344038859</v>
      </c>
      <c r="I1453">
        <f>187692*(1.01^10)</f>
        <v>207328.73596267984</v>
      </c>
      <c r="J1453" t="s">
        <v>5036</v>
      </c>
      <c r="K1453">
        <f t="shared" si="22"/>
        <v>455.29074314861219</v>
      </c>
    </row>
    <row r="1454" spans="1:11" x14ac:dyDescent="0.2">
      <c r="A1454" t="s">
        <v>405</v>
      </c>
      <c r="B1454" t="s">
        <v>651</v>
      </c>
      <c r="C1454" t="s">
        <v>5038</v>
      </c>
      <c r="D1454" t="s">
        <v>5039</v>
      </c>
      <c r="E1454" t="s">
        <v>725</v>
      </c>
      <c r="F1454" t="s">
        <v>537</v>
      </c>
      <c r="G1454" t="s">
        <v>12</v>
      </c>
      <c r="H1454">
        <f>47681*(1.01^10)</f>
        <v>52669.48756173165</v>
      </c>
      <c r="I1454">
        <f>301440*(1.01^10)</f>
        <v>332977.29348395357</v>
      </c>
      <c r="J1454" t="s">
        <v>5040</v>
      </c>
      <c r="K1454">
        <f t="shared" si="22"/>
        <v>1020.4253993785258</v>
      </c>
    </row>
    <row r="1455" spans="1:11" x14ac:dyDescent="0.2">
      <c r="A1455" t="s">
        <v>405</v>
      </c>
      <c r="B1455" t="s">
        <v>651</v>
      </c>
      <c r="C1455" t="s">
        <v>5041</v>
      </c>
      <c r="D1455" t="s">
        <v>801</v>
      </c>
      <c r="E1455" t="s">
        <v>368</v>
      </c>
      <c r="F1455" t="s">
        <v>72</v>
      </c>
      <c r="G1455" t="s">
        <v>24</v>
      </c>
      <c r="H1455">
        <f>14110*(1.01^10)</f>
        <v>15586.218189552099</v>
      </c>
      <c r="I1455">
        <f>88876*(1.01^10)</f>
        <v>98174.396018046231</v>
      </c>
      <c r="J1455" t="s">
        <v>5042</v>
      </c>
      <c r="K1455">
        <f t="shared" si="22"/>
        <v>527.6864721571518</v>
      </c>
    </row>
    <row r="1456" spans="1:11" x14ac:dyDescent="0.2">
      <c r="A1456" t="s">
        <v>405</v>
      </c>
      <c r="B1456" t="s">
        <v>651</v>
      </c>
      <c r="C1456" t="s">
        <v>5043</v>
      </c>
      <c r="D1456" t="s">
        <v>4482</v>
      </c>
      <c r="E1456" t="s">
        <v>1617</v>
      </c>
      <c r="F1456" t="s">
        <v>56</v>
      </c>
      <c r="G1456" t="s">
        <v>24</v>
      </c>
      <c r="H1456">
        <f>15145*(1.01^10)</f>
        <v>16729.502089352696</v>
      </c>
      <c r="I1456">
        <f>91113*(1.01^10)</f>
        <v>100645.4357125911</v>
      </c>
      <c r="J1456" t="s">
        <v>5044</v>
      </c>
      <c r="K1456">
        <f t="shared" si="22"/>
        <v>433.38800548868869</v>
      </c>
    </row>
    <row r="1457" spans="1:11" x14ac:dyDescent="0.2">
      <c r="A1457" t="s">
        <v>405</v>
      </c>
      <c r="B1457" t="s">
        <v>651</v>
      </c>
      <c r="C1457" t="s">
        <v>5045</v>
      </c>
      <c r="D1457" t="s">
        <v>5046</v>
      </c>
      <c r="E1457" t="s">
        <v>1944</v>
      </c>
      <c r="F1457" t="s">
        <v>61</v>
      </c>
      <c r="G1457" t="s">
        <v>24</v>
      </c>
      <c r="H1457">
        <f>9857*(1.01^10)</f>
        <v>10888.260290178245</v>
      </c>
      <c r="I1457">
        <f>57100*(1.01^10)</f>
        <v>63073.923360979788</v>
      </c>
      <c r="J1457" t="s">
        <v>5047</v>
      </c>
      <c r="K1457">
        <f t="shared" si="22"/>
        <v>68.789337789216148</v>
      </c>
    </row>
    <row r="1458" spans="1:11" x14ac:dyDescent="0.2">
      <c r="A1458" t="s">
        <v>405</v>
      </c>
      <c r="B1458" t="s">
        <v>722</v>
      </c>
      <c r="C1458" t="s">
        <v>5048</v>
      </c>
      <c r="D1458" t="s">
        <v>5049</v>
      </c>
      <c r="E1458" t="s">
        <v>1446</v>
      </c>
      <c r="F1458" t="s">
        <v>131</v>
      </c>
      <c r="G1458" t="s">
        <v>24</v>
      </c>
      <c r="H1458">
        <f>24983*(1.01^10)</f>
        <v>27596.774559148129</v>
      </c>
      <c r="I1458">
        <f>170025*(1.01^10)</f>
        <v>187813.37687304008</v>
      </c>
      <c r="J1458" t="s">
        <v>5050</v>
      </c>
      <c r="K1458">
        <f t="shared" si="22"/>
        <v>791.60652990280346</v>
      </c>
    </row>
    <row r="1459" spans="1:11" x14ac:dyDescent="0.2">
      <c r="A1459" t="s">
        <v>405</v>
      </c>
      <c r="B1459" t="s">
        <v>722</v>
      </c>
      <c r="C1459" t="s">
        <v>5051</v>
      </c>
      <c r="D1459" t="s">
        <v>5052</v>
      </c>
      <c r="E1459" t="s">
        <v>385</v>
      </c>
      <c r="F1459" t="s">
        <v>2795</v>
      </c>
      <c r="G1459" t="s">
        <v>24</v>
      </c>
      <c r="H1459">
        <f>33227*(1.01^10)</f>
        <v>36703.279361038098</v>
      </c>
      <c r="I1459">
        <f>225468*(1.01^10)</f>
        <v>249056.94137221351</v>
      </c>
      <c r="J1459" t="s">
        <v>5053</v>
      </c>
      <c r="K1459">
        <f t="shared" si="22"/>
        <v>800.22975671028746</v>
      </c>
    </row>
    <row r="1460" spans="1:11" x14ac:dyDescent="0.2">
      <c r="A1460" t="s">
        <v>405</v>
      </c>
      <c r="B1460" t="s">
        <v>722</v>
      </c>
      <c r="C1460" t="s">
        <v>5054</v>
      </c>
      <c r="D1460" t="s">
        <v>5055</v>
      </c>
      <c r="E1460" t="s">
        <v>51</v>
      </c>
      <c r="F1460" t="s">
        <v>158</v>
      </c>
      <c r="G1460" t="s">
        <v>12</v>
      </c>
      <c r="H1460">
        <f>16372*(1.01^10)</f>
        <v>18084.873437232243</v>
      </c>
      <c r="I1460">
        <f>108455*(1.01^10)</f>
        <v>119801.79261147221</v>
      </c>
      <c r="J1460" t="s">
        <v>5056</v>
      </c>
      <c r="K1460">
        <f t="shared" si="22"/>
        <v>1038.1006136616525</v>
      </c>
    </row>
    <row r="1461" spans="1:11" x14ac:dyDescent="0.2">
      <c r="A1461" t="s">
        <v>405</v>
      </c>
      <c r="B1461" t="s">
        <v>722</v>
      </c>
      <c r="C1461" t="s">
        <v>5057</v>
      </c>
      <c r="D1461" t="s">
        <v>5058</v>
      </c>
      <c r="E1461" t="s">
        <v>829</v>
      </c>
      <c r="F1461" t="s">
        <v>152</v>
      </c>
      <c r="G1461" t="s">
        <v>24</v>
      </c>
      <c r="H1461">
        <f>8728*(1.01^10)</f>
        <v>9641.1419105889945</v>
      </c>
      <c r="I1461">
        <f>57529*(1.01^10)</f>
        <v>63547.8062527812</v>
      </c>
      <c r="J1461" t="s">
        <v>5059</v>
      </c>
      <c r="K1461">
        <f t="shared" si="22"/>
        <v>1269.9872934243297</v>
      </c>
    </row>
    <row r="1462" spans="1:11" x14ac:dyDescent="0.2">
      <c r="A1462" t="s">
        <v>405</v>
      </c>
      <c r="B1462" t="s">
        <v>722</v>
      </c>
      <c r="C1462" t="s">
        <v>5061</v>
      </c>
      <c r="D1462" t="s">
        <v>5062</v>
      </c>
      <c r="E1462" t="s">
        <v>410</v>
      </c>
      <c r="F1462" t="s">
        <v>422</v>
      </c>
      <c r="G1462" t="s">
        <v>12</v>
      </c>
      <c r="H1462">
        <f>25552*(1.01^10)</f>
        <v>28225.304548507105</v>
      </c>
      <c r="I1462">
        <f>163565*(1.01^10)</f>
        <v>180677.51794288371</v>
      </c>
      <c r="J1462" t="s">
        <v>5063</v>
      </c>
      <c r="K1462">
        <f t="shared" si="22"/>
        <v>1269.291399075184</v>
      </c>
    </row>
    <row r="1463" spans="1:11" x14ac:dyDescent="0.2">
      <c r="A1463" t="s">
        <v>405</v>
      </c>
      <c r="B1463" t="s">
        <v>722</v>
      </c>
      <c r="C1463" t="s">
        <v>5064</v>
      </c>
      <c r="D1463" t="s">
        <v>5065</v>
      </c>
      <c r="E1463" t="s">
        <v>555</v>
      </c>
      <c r="F1463" t="s">
        <v>796</v>
      </c>
      <c r="G1463" t="s">
        <v>24</v>
      </c>
      <c r="H1463">
        <f>31555*(1.01^10)</f>
        <v>34856.351167350564</v>
      </c>
      <c r="I1463">
        <f>209284*(1.01^10)</f>
        <v>231179.73689455856</v>
      </c>
      <c r="J1463" t="s">
        <v>5066</v>
      </c>
      <c r="K1463">
        <f t="shared" si="22"/>
        <v>1144.3329567562284</v>
      </c>
    </row>
    <row r="1464" spans="1:11" x14ac:dyDescent="0.2">
      <c r="A1464" t="s">
        <v>405</v>
      </c>
      <c r="B1464" t="s">
        <v>722</v>
      </c>
      <c r="C1464" t="s">
        <v>5067</v>
      </c>
      <c r="D1464" t="s">
        <v>5068</v>
      </c>
      <c r="E1464" t="s">
        <v>180</v>
      </c>
      <c r="F1464" t="s">
        <v>11</v>
      </c>
      <c r="G1464" t="s">
        <v>12</v>
      </c>
      <c r="H1464">
        <f>21709*(1.01^10)</f>
        <v>23980.241720551843</v>
      </c>
      <c r="I1464">
        <f>138936*(1.01^10)</f>
        <v>153471.77961613116</v>
      </c>
      <c r="J1464" t="s">
        <v>5069</v>
      </c>
      <c r="K1464">
        <f t="shared" si="22"/>
        <v>1095.1287540750302</v>
      </c>
    </row>
    <row r="1465" spans="1:11" x14ac:dyDescent="0.2">
      <c r="A1465" t="s">
        <v>405</v>
      </c>
      <c r="B1465" t="s">
        <v>722</v>
      </c>
      <c r="C1465" t="s">
        <v>5071</v>
      </c>
      <c r="D1465" t="s">
        <v>5006</v>
      </c>
      <c r="E1465" t="s">
        <v>72</v>
      </c>
      <c r="F1465" t="s">
        <v>11</v>
      </c>
      <c r="G1465" t="s">
        <v>24</v>
      </c>
      <c r="H1465">
        <f>11461*(1.01^10)</f>
        <v>12660.074179337818</v>
      </c>
      <c r="I1465">
        <f>75213*(1.01^10)</f>
        <v>83081.943918552948</v>
      </c>
      <c r="J1465" t="s">
        <v>5072</v>
      </c>
      <c r="K1465">
        <f t="shared" si="22"/>
        <v>1165.7828626150306</v>
      </c>
    </row>
    <row r="1466" spans="1:11" x14ac:dyDescent="0.2">
      <c r="A1466" t="s">
        <v>405</v>
      </c>
      <c r="B1466" t="s">
        <v>722</v>
      </c>
      <c r="C1466" t="s">
        <v>5073</v>
      </c>
      <c r="D1466" t="s">
        <v>5074</v>
      </c>
      <c r="E1466" t="s">
        <v>185</v>
      </c>
      <c r="F1466" t="s">
        <v>5</v>
      </c>
      <c r="G1466" t="s">
        <v>24</v>
      </c>
      <c r="H1466">
        <f>9249*(1.01^10)</f>
        <v>10216.650037928233</v>
      </c>
      <c r="I1466">
        <f>62621*(1.01^10)</f>
        <v>69172.54211537505</v>
      </c>
      <c r="J1466" t="s">
        <v>5075</v>
      </c>
      <c r="K1466">
        <f t="shared" si="22"/>
        <v>1044.3018804185158</v>
      </c>
    </row>
    <row r="1467" spans="1:11" x14ac:dyDescent="0.2">
      <c r="A1467" t="s">
        <v>405</v>
      </c>
      <c r="B1467" t="s">
        <v>722</v>
      </c>
      <c r="C1467" t="s">
        <v>5076</v>
      </c>
      <c r="D1467" t="s">
        <v>1958</v>
      </c>
      <c r="E1467" t="s">
        <v>1195</v>
      </c>
      <c r="F1467" t="s">
        <v>158</v>
      </c>
      <c r="G1467" t="s">
        <v>12</v>
      </c>
      <c r="H1467">
        <f>26362*(1.01^10)</f>
        <v>29120.04847009018</v>
      </c>
      <c r="I1467">
        <f>173327*(1.01^10)</f>
        <v>191460.83913114789</v>
      </c>
      <c r="J1467" t="s">
        <v>5077</v>
      </c>
      <c r="K1467">
        <f t="shared" si="22"/>
        <v>1153.3827991068506</v>
      </c>
    </row>
    <row r="1468" spans="1:11" x14ac:dyDescent="0.2">
      <c r="A1468" t="s">
        <v>405</v>
      </c>
      <c r="B1468" t="s">
        <v>722</v>
      </c>
      <c r="C1468" t="s">
        <v>5079</v>
      </c>
      <c r="D1468" t="s">
        <v>5080</v>
      </c>
      <c r="E1468" t="s">
        <v>284</v>
      </c>
      <c r="F1468" t="s">
        <v>612</v>
      </c>
      <c r="G1468" t="s">
        <v>24</v>
      </c>
      <c r="H1468">
        <f>31528*(1.01^10)</f>
        <v>34826.526369964464</v>
      </c>
      <c r="I1468">
        <f>225082*(1.01^10)</f>
        <v>248630.55723180479</v>
      </c>
      <c r="J1468" t="s">
        <v>5081</v>
      </c>
      <c r="K1468">
        <f t="shared" si="22"/>
        <v>766.06602248838806</v>
      </c>
    </row>
    <row r="1469" spans="1:11" x14ac:dyDescent="0.2">
      <c r="A1469" t="s">
        <v>405</v>
      </c>
      <c r="B1469" t="s">
        <v>722</v>
      </c>
      <c r="C1469" t="s">
        <v>5082</v>
      </c>
      <c r="D1469" t="s">
        <v>5083</v>
      </c>
      <c r="E1469" t="s">
        <v>1328</v>
      </c>
      <c r="F1469" t="s">
        <v>176</v>
      </c>
      <c r="G1469" t="s">
        <v>17</v>
      </c>
      <c r="H1469">
        <f>21298*(1.01^10)</f>
        <v>23526.24202700784</v>
      </c>
      <c r="I1469">
        <f>131528*(1.01^10)</f>
        <v>145288.73891108495</v>
      </c>
      <c r="J1469" t="s">
        <v>5084</v>
      </c>
      <c r="K1469">
        <f t="shared" si="22"/>
        <v>566.10209686546864</v>
      </c>
    </row>
    <row r="1470" spans="1:11" x14ac:dyDescent="0.2">
      <c r="A1470" t="s">
        <v>405</v>
      </c>
      <c r="B1470" t="s">
        <v>722</v>
      </c>
      <c r="C1470" t="s">
        <v>5086</v>
      </c>
      <c r="D1470" t="s">
        <v>4181</v>
      </c>
      <c r="E1470" t="s">
        <v>137</v>
      </c>
      <c r="F1470" t="s">
        <v>11</v>
      </c>
      <c r="G1470" t="s">
        <v>24</v>
      </c>
      <c r="H1470">
        <f>16387*(1.01^10)</f>
        <v>18101.442769113411</v>
      </c>
      <c r="I1470">
        <f>94065*(1.01^10)</f>
        <v>103906.28022680497</v>
      </c>
      <c r="J1470" t="s">
        <v>5087</v>
      </c>
      <c r="K1470">
        <f t="shared" si="22"/>
        <v>256.55321157687536</v>
      </c>
    </row>
    <row r="1471" spans="1:11" x14ac:dyDescent="0.2">
      <c r="A1471" t="s">
        <v>405</v>
      </c>
      <c r="B1471" t="s">
        <v>722</v>
      </c>
      <c r="C1471" t="s">
        <v>5088</v>
      </c>
      <c r="D1471" t="s">
        <v>5089</v>
      </c>
      <c r="E1471" t="s">
        <v>1140</v>
      </c>
      <c r="F1471" t="s">
        <v>333</v>
      </c>
      <c r="G1471" t="s">
        <v>24</v>
      </c>
      <c r="H1471">
        <f>28147*(1.01^10)</f>
        <v>31091.798963949179</v>
      </c>
      <c r="I1471">
        <f>176080*(1.01^10)</f>
        <v>194501.86384240494</v>
      </c>
      <c r="J1471" t="s">
        <v>5090</v>
      </c>
      <c r="K1471">
        <f t="shared" si="22"/>
        <v>561.98346573784556</v>
      </c>
    </row>
    <row r="1472" spans="1:11" x14ac:dyDescent="0.2">
      <c r="A1472" t="s">
        <v>405</v>
      </c>
      <c r="B1472" t="s">
        <v>722</v>
      </c>
      <c r="C1472" t="s">
        <v>5091</v>
      </c>
      <c r="D1472" t="s">
        <v>5092</v>
      </c>
      <c r="E1472" t="s">
        <v>2162</v>
      </c>
      <c r="F1472" t="s">
        <v>313</v>
      </c>
      <c r="G1472" t="s">
        <v>12</v>
      </c>
      <c r="H1472">
        <f>58202*(1.01^10)</f>
        <v>64291.216943182939</v>
      </c>
      <c r="I1472">
        <f>358283*(1.01^10)</f>
        <v>395767.32895870268</v>
      </c>
      <c r="J1472" t="s">
        <v>5093</v>
      </c>
      <c r="K1472">
        <f t="shared" si="22"/>
        <v>1370.7059713836829</v>
      </c>
    </row>
    <row r="1473" spans="1:11" x14ac:dyDescent="0.2">
      <c r="A1473" t="s">
        <v>405</v>
      </c>
      <c r="B1473" t="s">
        <v>722</v>
      </c>
      <c r="C1473" t="s">
        <v>5094</v>
      </c>
      <c r="D1473" t="s">
        <v>5095</v>
      </c>
      <c r="E1473" t="s">
        <v>619</v>
      </c>
      <c r="F1473" t="s">
        <v>11</v>
      </c>
      <c r="G1473" t="s">
        <v>24</v>
      </c>
      <c r="H1473">
        <f>18895*(1.01^10)</f>
        <v>20871.835059644713</v>
      </c>
      <c r="I1473">
        <f>120145*(1.01^10)</f>
        <v>132714.82525752918</v>
      </c>
      <c r="J1473" t="s">
        <v>5096</v>
      </c>
      <c r="K1473">
        <f t="shared" si="22"/>
        <v>1428.0088050644952</v>
      </c>
    </row>
    <row r="1474" spans="1:11" x14ac:dyDescent="0.2">
      <c r="A1474" t="s">
        <v>405</v>
      </c>
      <c r="B1474" t="s">
        <v>722</v>
      </c>
      <c r="C1474" t="s">
        <v>5097</v>
      </c>
      <c r="D1474" t="s">
        <v>5098</v>
      </c>
      <c r="E1474" t="s">
        <v>837</v>
      </c>
      <c r="F1474" t="s">
        <v>24</v>
      </c>
      <c r="G1474" t="s">
        <v>12</v>
      </c>
      <c r="H1474">
        <f>45101*(1.01^10)</f>
        <v>49819.562478170745</v>
      </c>
      <c r="I1474">
        <f>275014*(1.01^10)</f>
        <v>303786.54919783707</v>
      </c>
      <c r="J1474" t="s">
        <v>5099</v>
      </c>
      <c r="K1474">
        <f t="shared" si="22"/>
        <v>1747.6963284628298</v>
      </c>
    </row>
    <row r="1475" spans="1:11" x14ac:dyDescent="0.2">
      <c r="A1475" t="s">
        <v>405</v>
      </c>
      <c r="B1475" t="s">
        <v>722</v>
      </c>
      <c r="C1475" t="s">
        <v>5100</v>
      </c>
      <c r="D1475" t="s">
        <v>5101</v>
      </c>
      <c r="E1475" t="s">
        <v>164</v>
      </c>
      <c r="F1475" t="s">
        <v>152</v>
      </c>
      <c r="G1475" t="s">
        <v>12</v>
      </c>
      <c r="H1475">
        <f>17158*(1.01^10)</f>
        <v>18953.106427805451</v>
      </c>
      <c r="I1475">
        <f>109249*(1.01^10)</f>
        <v>120678.86257904871</v>
      </c>
      <c r="J1475" t="s">
        <v>5102</v>
      </c>
      <c r="K1475">
        <f t="shared" ref="K1475:K1538" si="23">I1475/J1475</f>
        <v>667.11204444785801</v>
      </c>
    </row>
    <row r="1476" spans="1:11" x14ac:dyDescent="0.2">
      <c r="A1476" t="s">
        <v>405</v>
      </c>
      <c r="B1476" t="s">
        <v>722</v>
      </c>
      <c r="C1476" t="s">
        <v>5104</v>
      </c>
      <c r="D1476" t="s">
        <v>5105</v>
      </c>
      <c r="E1476" t="s">
        <v>97</v>
      </c>
      <c r="F1476" t="s">
        <v>5</v>
      </c>
      <c r="G1476" t="s">
        <v>12</v>
      </c>
      <c r="H1476">
        <f>14431*(1.01^10)</f>
        <v>15940.801891809097</v>
      </c>
      <c r="I1476">
        <f>86049*(1.01^10)</f>
        <v>95051.629269508761</v>
      </c>
      <c r="J1476" t="s">
        <v>5106</v>
      </c>
      <c r="K1476">
        <f t="shared" si="23"/>
        <v>306.25176743613468</v>
      </c>
    </row>
    <row r="1477" spans="1:11" x14ac:dyDescent="0.2">
      <c r="A1477" t="s">
        <v>405</v>
      </c>
      <c r="B1477" t="s">
        <v>2342</v>
      </c>
      <c r="C1477" t="s">
        <v>5107</v>
      </c>
      <c r="D1477" t="s">
        <v>5108</v>
      </c>
      <c r="E1477" t="s">
        <v>51</v>
      </c>
      <c r="F1477" t="s">
        <v>11</v>
      </c>
      <c r="G1477" t="s">
        <v>12</v>
      </c>
      <c r="H1477">
        <f>32880*(1.01^10)</f>
        <v>36319.975483520415</v>
      </c>
      <c r="I1477">
        <f>206854*(1.01^10)</f>
        <v>228495.50512980935</v>
      </c>
      <c r="J1477" t="s">
        <v>5109</v>
      </c>
      <c r="K1477">
        <f t="shared" si="23"/>
        <v>1239.0093642821207</v>
      </c>
    </row>
    <row r="1478" spans="1:11" x14ac:dyDescent="0.2">
      <c r="A1478" t="s">
        <v>405</v>
      </c>
      <c r="B1478" t="s">
        <v>2342</v>
      </c>
      <c r="C1478" t="s">
        <v>5110</v>
      </c>
      <c r="D1478" t="s">
        <v>5111</v>
      </c>
      <c r="E1478" t="s">
        <v>535</v>
      </c>
      <c r="F1478" t="s">
        <v>17</v>
      </c>
      <c r="G1478" t="s">
        <v>12</v>
      </c>
      <c r="H1478">
        <f>26945*(1.01^10)</f>
        <v>29764.043169204913</v>
      </c>
      <c r="I1478">
        <f>160820*(1.01^10)</f>
        <v>177645.33020862995</v>
      </c>
      <c r="J1478" t="s">
        <v>5112</v>
      </c>
      <c r="K1478">
        <f t="shared" si="23"/>
        <v>1246.1750510672896</v>
      </c>
    </row>
    <row r="1479" spans="1:11" x14ac:dyDescent="0.2">
      <c r="A1479" t="s">
        <v>405</v>
      </c>
      <c r="B1479" t="s">
        <v>2342</v>
      </c>
      <c r="C1479" t="s">
        <v>5113</v>
      </c>
      <c r="D1479" t="s">
        <v>5114</v>
      </c>
      <c r="E1479" t="s">
        <v>1401</v>
      </c>
      <c r="F1479" t="s">
        <v>382</v>
      </c>
      <c r="G1479" t="s">
        <v>24</v>
      </c>
      <c r="H1479">
        <f>34717*(1.01^10)</f>
        <v>38349.166327900792</v>
      </c>
      <c r="I1479">
        <f>234400*(1.01^10)</f>
        <v>258923.4261963864</v>
      </c>
      <c r="J1479" t="s">
        <v>5115</v>
      </c>
      <c r="K1479">
        <f t="shared" si="23"/>
        <v>848.42864258145289</v>
      </c>
    </row>
    <row r="1480" spans="1:11" x14ac:dyDescent="0.2">
      <c r="A1480" t="s">
        <v>405</v>
      </c>
      <c r="B1480" t="s">
        <v>2342</v>
      </c>
      <c r="C1480" t="s">
        <v>5116</v>
      </c>
      <c r="D1480" t="s">
        <v>5117</v>
      </c>
      <c r="E1480" t="s">
        <v>689</v>
      </c>
      <c r="F1480" t="s">
        <v>158</v>
      </c>
      <c r="G1480" t="s">
        <v>12</v>
      </c>
      <c r="H1480">
        <f>46192*(1.01^10)</f>
        <v>51024.705216994371</v>
      </c>
      <c r="I1480">
        <f>312367*(1.01^10)</f>
        <v>345047.49944832182</v>
      </c>
      <c r="J1480" t="s">
        <v>5118</v>
      </c>
      <c r="K1480">
        <f t="shared" si="23"/>
        <v>890.26109042199005</v>
      </c>
    </row>
    <row r="1481" spans="1:11" x14ac:dyDescent="0.2">
      <c r="A1481" t="s">
        <v>405</v>
      </c>
      <c r="B1481" t="s">
        <v>2342</v>
      </c>
      <c r="C1481" t="s">
        <v>5119</v>
      </c>
      <c r="D1481" t="s">
        <v>5120</v>
      </c>
      <c r="E1481" t="s">
        <v>320</v>
      </c>
      <c r="F1481" t="s">
        <v>152</v>
      </c>
      <c r="G1481" t="s">
        <v>12</v>
      </c>
      <c r="H1481">
        <f>35453*(1.01^10)</f>
        <v>39162.16821220344</v>
      </c>
      <c r="I1481">
        <f>226007*(1.01^10)</f>
        <v>249652.33269781014</v>
      </c>
      <c r="J1481" t="s">
        <v>5121</v>
      </c>
      <c r="K1481">
        <f t="shared" si="23"/>
        <v>925.60300079785668</v>
      </c>
    </row>
    <row r="1482" spans="1:11" x14ac:dyDescent="0.2">
      <c r="A1482" t="s">
        <v>405</v>
      </c>
      <c r="B1482" t="s">
        <v>2342</v>
      </c>
      <c r="C1482" t="s">
        <v>5122</v>
      </c>
      <c r="D1482" t="s">
        <v>5123</v>
      </c>
      <c r="E1482" t="s">
        <v>467</v>
      </c>
      <c r="F1482" t="s">
        <v>6</v>
      </c>
      <c r="G1482" t="s">
        <v>12</v>
      </c>
      <c r="H1482">
        <f>43336*(1.01^10)</f>
        <v>47869.904426819972</v>
      </c>
      <c r="I1482">
        <f>283193*(1.01^10)</f>
        <v>312821.25356157531</v>
      </c>
      <c r="J1482" t="s">
        <v>5124</v>
      </c>
      <c r="K1482">
        <f t="shared" si="23"/>
        <v>1162.3149218337865</v>
      </c>
    </row>
    <row r="1483" spans="1:11" x14ac:dyDescent="0.2">
      <c r="A1483" t="s">
        <v>405</v>
      </c>
      <c r="B1483" t="s">
        <v>2342</v>
      </c>
      <c r="C1483" t="s">
        <v>5125</v>
      </c>
      <c r="D1483" t="s">
        <v>5126</v>
      </c>
      <c r="E1483" t="s">
        <v>128</v>
      </c>
      <c r="F1483" t="s">
        <v>44</v>
      </c>
      <c r="G1483" t="s">
        <v>24</v>
      </c>
      <c r="H1483">
        <f>30095*(1.01^10)</f>
        <v>33243.602864250206</v>
      </c>
      <c r="I1483">
        <f>200052*(1.01^10)</f>
        <v>220981.86543276234</v>
      </c>
      <c r="J1483" t="s">
        <v>5127</v>
      </c>
      <c r="K1483">
        <f t="shared" si="23"/>
        <v>706.9328369037961</v>
      </c>
    </row>
    <row r="1484" spans="1:11" x14ac:dyDescent="0.2">
      <c r="A1484" t="s">
        <v>405</v>
      </c>
      <c r="B1484" t="s">
        <v>2342</v>
      </c>
      <c r="C1484" t="s">
        <v>5129</v>
      </c>
      <c r="D1484" t="s">
        <v>5130</v>
      </c>
      <c r="E1484" t="s">
        <v>1200</v>
      </c>
      <c r="F1484" t="s">
        <v>374</v>
      </c>
      <c r="G1484" t="s">
        <v>12</v>
      </c>
      <c r="H1484">
        <f>47236*(1.01^10)</f>
        <v>52177.930715923671</v>
      </c>
      <c r="I1484">
        <f>305236*(1.01^10)</f>
        <v>337170.43907201447</v>
      </c>
      <c r="J1484" t="s">
        <v>5131</v>
      </c>
      <c r="K1484">
        <f t="shared" si="23"/>
        <v>617.62556445104622</v>
      </c>
    </row>
    <row r="1485" spans="1:11" x14ac:dyDescent="0.2">
      <c r="A1485" t="s">
        <v>405</v>
      </c>
      <c r="B1485" t="s">
        <v>2342</v>
      </c>
      <c r="C1485" t="s">
        <v>5133</v>
      </c>
      <c r="D1485" t="s">
        <v>5134</v>
      </c>
      <c r="E1485" t="s">
        <v>493</v>
      </c>
      <c r="F1485" t="s">
        <v>382</v>
      </c>
      <c r="G1485" t="s">
        <v>24</v>
      </c>
      <c r="H1485">
        <f>34623*(1.01^10)</f>
        <v>38245.331848112139</v>
      </c>
      <c r="I1485">
        <f>226599*(1.01^10)</f>
        <v>250306.26899605358</v>
      </c>
      <c r="J1485" t="s">
        <v>5135</v>
      </c>
      <c r="K1485">
        <f t="shared" si="23"/>
        <v>983.4468517951592</v>
      </c>
    </row>
    <row r="1486" spans="1:11" x14ac:dyDescent="0.2">
      <c r="A1486" t="s">
        <v>405</v>
      </c>
      <c r="B1486" t="s">
        <v>2342</v>
      </c>
      <c r="C1486" t="s">
        <v>5136</v>
      </c>
      <c r="D1486" t="s">
        <v>5137</v>
      </c>
      <c r="E1486" t="s">
        <v>315</v>
      </c>
      <c r="F1486" t="s">
        <v>92</v>
      </c>
      <c r="G1486" t="s">
        <v>24</v>
      </c>
      <c r="H1486">
        <f>27596*(1.01^10)</f>
        <v>30483.152172847607</v>
      </c>
      <c r="I1486">
        <f>173216*(1.01^10)</f>
        <v>191338.22607522726</v>
      </c>
      <c r="J1486" t="s">
        <v>5138</v>
      </c>
      <c r="K1486">
        <f t="shared" si="23"/>
        <v>693.78242749253354</v>
      </c>
    </row>
    <row r="1487" spans="1:11" x14ac:dyDescent="0.2">
      <c r="A1487" t="s">
        <v>405</v>
      </c>
      <c r="B1487" t="s">
        <v>2342</v>
      </c>
      <c r="C1487" t="s">
        <v>5139</v>
      </c>
      <c r="D1487" t="s">
        <v>5140</v>
      </c>
      <c r="E1487" t="s">
        <v>560</v>
      </c>
      <c r="F1487" t="s">
        <v>11</v>
      </c>
      <c r="G1487" t="s">
        <v>24</v>
      </c>
      <c r="H1487">
        <f>32825*(1.01^10)</f>
        <v>36259.221266622793</v>
      </c>
      <c r="I1487">
        <f>211329*(1.01^10)</f>
        <v>233438.68914102449</v>
      </c>
      <c r="J1487" t="s">
        <v>5141</v>
      </c>
      <c r="K1487">
        <f t="shared" si="23"/>
        <v>652.77829388677094</v>
      </c>
    </row>
    <row r="1488" spans="1:11" x14ac:dyDescent="0.2">
      <c r="A1488" t="s">
        <v>405</v>
      </c>
      <c r="B1488" t="s">
        <v>5142</v>
      </c>
      <c r="C1488" t="s">
        <v>5143</v>
      </c>
      <c r="D1488" t="s">
        <v>3189</v>
      </c>
      <c r="E1488" t="s">
        <v>766</v>
      </c>
      <c r="F1488" t="s">
        <v>318</v>
      </c>
      <c r="G1488" t="s">
        <v>24</v>
      </c>
      <c r="H1488">
        <f>29420*(1.01^10)</f>
        <v>32497.982929597645</v>
      </c>
      <c r="I1488">
        <f>201920*(1.01^10)</f>
        <v>223045.29956303045</v>
      </c>
      <c r="J1488" t="s">
        <v>5144</v>
      </c>
      <c r="K1488">
        <f t="shared" si="23"/>
        <v>824.24625996372004</v>
      </c>
    </row>
    <row r="1489" spans="1:11" x14ac:dyDescent="0.2">
      <c r="A1489" t="s">
        <v>405</v>
      </c>
      <c r="B1489" t="s">
        <v>5142</v>
      </c>
      <c r="C1489" t="s">
        <v>5145</v>
      </c>
      <c r="D1489" t="s">
        <v>5146</v>
      </c>
      <c r="E1489" t="s">
        <v>328</v>
      </c>
      <c r="F1489" t="s">
        <v>158</v>
      </c>
      <c r="G1489" t="s">
        <v>12</v>
      </c>
      <c r="H1489">
        <f>40159*(1.01^10)</f>
        <v>44360.519934388569</v>
      </c>
      <c r="I1489">
        <f>260511*(1.01^10)</f>
        <v>287766.21451299835</v>
      </c>
      <c r="J1489" t="s">
        <v>5147</v>
      </c>
      <c r="K1489">
        <f t="shared" si="23"/>
        <v>1213.899095801894</v>
      </c>
    </row>
    <row r="1490" spans="1:11" x14ac:dyDescent="0.2">
      <c r="A1490" t="s">
        <v>405</v>
      </c>
      <c r="B1490" t="s">
        <v>5142</v>
      </c>
      <c r="C1490" t="s">
        <v>5148</v>
      </c>
      <c r="D1490" t="s">
        <v>5149</v>
      </c>
      <c r="E1490" t="s">
        <v>503</v>
      </c>
      <c r="F1490" t="s">
        <v>92</v>
      </c>
      <c r="G1490" t="s">
        <v>24</v>
      </c>
      <c r="H1490">
        <f>34008*(1.01^10)</f>
        <v>37565.989240984251</v>
      </c>
      <c r="I1490">
        <f>222003*(1.01^10)</f>
        <v>245229.4257076637</v>
      </c>
      <c r="J1490" t="s">
        <v>5150</v>
      </c>
      <c r="K1490">
        <f t="shared" si="23"/>
        <v>1216.7460046577914</v>
      </c>
    </row>
    <row r="1491" spans="1:11" x14ac:dyDescent="0.2">
      <c r="A1491" t="s">
        <v>405</v>
      </c>
      <c r="B1491" t="s">
        <v>5142</v>
      </c>
      <c r="C1491" t="s">
        <v>5151</v>
      </c>
      <c r="D1491" t="s">
        <v>5152</v>
      </c>
      <c r="E1491" t="s">
        <v>28</v>
      </c>
      <c r="F1491" t="s">
        <v>458</v>
      </c>
      <c r="G1491" t="s">
        <v>24</v>
      </c>
      <c r="H1491">
        <f>28262*(1.01^10)</f>
        <v>31218.830508371469</v>
      </c>
      <c r="I1491">
        <f>176048*(1.01^10)</f>
        <v>194466.51593439176</v>
      </c>
      <c r="J1491" t="s">
        <v>5153</v>
      </c>
      <c r="K1491">
        <f t="shared" si="23"/>
        <v>1024.6561744376484</v>
      </c>
    </row>
    <row r="1492" spans="1:11" x14ac:dyDescent="0.2">
      <c r="A1492" t="s">
        <v>405</v>
      </c>
      <c r="B1492" t="s">
        <v>5142</v>
      </c>
      <c r="C1492" t="s">
        <v>5154</v>
      </c>
      <c r="D1492" t="s">
        <v>5155</v>
      </c>
      <c r="E1492" t="s">
        <v>142</v>
      </c>
      <c r="F1492" t="s">
        <v>5</v>
      </c>
      <c r="G1492" t="s">
        <v>24</v>
      </c>
      <c r="H1492">
        <f>14539*(1.01^10)</f>
        <v>16060.101081353505</v>
      </c>
      <c r="I1492">
        <f>98603*(1.01^10)</f>
        <v>108919.05543192102</v>
      </c>
      <c r="J1492" t="s">
        <v>5156</v>
      </c>
      <c r="K1492">
        <f t="shared" si="23"/>
        <v>993.18167605881922</v>
      </c>
    </row>
    <row r="1493" spans="1:11" x14ac:dyDescent="0.2">
      <c r="A1493" t="s">
        <v>405</v>
      </c>
      <c r="B1493" t="s">
        <v>5142</v>
      </c>
      <c r="C1493" t="s">
        <v>5157</v>
      </c>
      <c r="D1493" t="s">
        <v>5158</v>
      </c>
      <c r="E1493" t="s">
        <v>23</v>
      </c>
      <c r="F1493" t="s">
        <v>92</v>
      </c>
      <c r="G1493" t="s">
        <v>24</v>
      </c>
      <c r="H1493">
        <f>15278*(1.01^10)</f>
        <v>16876.416832032388</v>
      </c>
      <c r="I1493">
        <f>100820*(1.01^10)</f>
        <v>111368.00268395766</v>
      </c>
      <c r="J1493" t="s">
        <v>5159</v>
      </c>
      <c r="K1493">
        <f t="shared" si="23"/>
        <v>634.24355649974268</v>
      </c>
    </row>
    <row r="1494" spans="1:11" x14ac:dyDescent="0.2">
      <c r="A1494" t="s">
        <v>405</v>
      </c>
      <c r="B1494" t="s">
        <v>5142</v>
      </c>
      <c r="C1494" t="s">
        <v>5161</v>
      </c>
      <c r="D1494" t="s">
        <v>5162</v>
      </c>
      <c r="E1494" t="s">
        <v>1580</v>
      </c>
      <c r="F1494" t="s">
        <v>6</v>
      </c>
      <c r="G1494" t="s">
        <v>24</v>
      </c>
      <c r="H1494">
        <f>11777*(1.01^10)</f>
        <v>13009.134770967758</v>
      </c>
      <c r="I1494">
        <f>82296*(1.01^10)</f>
        <v>90905.982432840508</v>
      </c>
      <c r="J1494" t="s">
        <v>5163</v>
      </c>
      <c r="K1494">
        <f t="shared" si="23"/>
        <v>843.26360981805533</v>
      </c>
    </row>
    <row r="1495" spans="1:11" x14ac:dyDescent="0.2">
      <c r="A1495" t="s">
        <v>405</v>
      </c>
      <c r="B1495" t="s">
        <v>5142</v>
      </c>
      <c r="C1495" t="s">
        <v>5164</v>
      </c>
      <c r="D1495" t="s">
        <v>5165</v>
      </c>
      <c r="E1495" t="s">
        <v>168</v>
      </c>
      <c r="F1495" t="s">
        <v>12</v>
      </c>
      <c r="G1495" t="s">
        <v>24</v>
      </c>
      <c r="H1495">
        <f>25662*(1.01^10)</f>
        <v>28346.812982302337</v>
      </c>
      <c r="I1495">
        <f>148418*(1.01^10)</f>
        <v>163945.80660928017</v>
      </c>
      <c r="J1495" t="s">
        <v>5166</v>
      </c>
      <c r="K1495">
        <f t="shared" si="23"/>
        <v>1279.4024954752097</v>
      </c>
    </row>
    <row r="1496" spans="1:11" x14ac:dyDescent="0.2">
      <c r="A1496" t="s">
        <v>405</v>
      </c>
      <c r="B1496" t="s">
        <v>5142</v>
      </c>
      <c r="C1496" t="s">
        <v>5167</v>
      </c>
      <c r="D1496" t="s">
        <v>5168</v>
      </c>
      <c r="E1496" t="s">
        <v>879</v>
      </c>
      <c r="F1496" t="s">
        <v>17</v>
      </c>
      <c r="G1496" t="s">
        <v>17</v>
      </c>
      <c r="H1496">
        <f>101087*(1.01^10)</f>
        <v>111662.93679144245</v>
      </c>
      <c r="I1496">
        <f>646956*(1.01^10)</f>
        <v>714641.91176753142</v>
      </c>
      <c r="J1496" t="s">
        <v>5169</v>
      </c>
      <c r="K1496">
        <f t="shared" si="23"/>
        <v>3759.7158287266952</v>
      </c>
    </row>
    <row r="1497" spans="1:11" x14ac:dyDescent="0.2">
      <c r="A1497" t="s">
        <v>405</v>
      </c>
      <c r="B1497" t="s">
        <v>5142</v>
      </c>
      <c r="C1497" t="s">
        <v>5170</v>
      </c>
      <c r="D1497" t="s">
        <v>5171</v>
      </c>
      <c r="E1497" t="s">
        <v>168</v>
      </c>
      <c r="F1497" t="s">
        <v>152</v>
      </c>
      <c r="G1497" t="s">
        <v>24</v>
      </c>
      <c r="H1497">
        <f>16549*(1.01^10)</f>
        <v>18280.391553430029</v>
      </c>
      <c r="I1497">
        <f>101969*(1.01^10)</f>
        <v>112637.21350605514</v>
      </c>
      <c r="J1497" t="s">
        <v>5172</v>
      </c>
      <c r="K1497">
        <f t="shared" si="23"/>
        <v>836.37874881581695</v>
      </c>
    </row>
    <row r="1498" spans="1:11" x14ac:dyDescent="0.2">
      <c r="A1498" t="s">
        <v>405</v>
      </c>
      <c r="B1498" t="s">
        <v>5142</v>
      </c>
      <c r="C1498" t="s">
        <v>5173</v>
      </c>
      <c r="D1498" t="s">
        <v>5174</v>
      </c>
      <c r="E1498" t="s">
        <v>542</v>
      </c>
      <c r="F1498" t="s">
        <v>158</v>
      </c>
      <c r="G1498" t="s">
        <v>12</v>
      </c>
      <c r="H1498">
        <f>21000*(1.01^10)</f>
        <v>23197.064633635298</v>
      </c>
      <c r="I1498">
        <f>139379*(1.01^10)</f>
        <v>153961.12721768831</v>
      </c>
      <c r="J1498" t="s">
        <v>5175</v>
      </c>
      <c r="K1498">
        <f t="shared" si="23"/>
        <v>982.52413597496388</v>
      </c>
    </row>
    <row r="1499" spans="1:11" x14ac:dyDescent="0.2">
      <c r="A1499" t="s">
        <v>405</v>
      </c>
      <c r="B1499" t="s">
        <v>5142</v>
      </c>
      <c r="C1499" t="s">
        <v>5176</v>
      </c>
      <c r="D1499" t="s">
        <v>5177</v>
      </c>
      <c r="E1499" t="s">
        <v>982</v>
      </c>
      <c r="F1499" t="s">
        <v>382</v>
      </c>
      <c r="G1499" t="s">
        <v>24</v>
      </c>
      <c r="H1499">
        <f>29938*(1.01^10)</f>
        <v>33070.177190560651</v>
      </c>
      <c r="I1499">
        <f>184286*(1.01^10)</f>
        <v>203566.39300352929</v>
      </c>
      <c r="J1499" t="s">
        <v>5178</v>
      </c>
      <c r="K1499">
        <f t="shared" si="23"/>
        <v>1025.1789869256202</v>
      </c>
    </row>
    <row r="1500" spans="1:11" x14ac:dyDescent="0.2">
      <c r="A1500" t="s">
        <v>405</v>
      </c>
      <c r="B1500" t="s">
        <v>5142</v>
      </c>
      <c r="C1500" t="s">
        <v>5179</v>
      </c>
      <c r="D1500" t="s">
        <v>5180</v>
      </c>
      <c r="E1500" t="s">
        <v>611</v>
      </c>
      <c r="F1500" t="s">
        <v>92</v>
      </c>
      <c r="G1500" t="s">
        <v>24</v>
      </c>
      <c r="H1500">
        <f>16692*(1.01^10)</f>
        <v>18438.35251736383</v>
      </c>
      <c r="I1500">
        <f>105027*(1.01^10)</f>
        <v>116015.1479655626</v>
      </c>
      <c r="J1500" t="s">
        <v>5181</v>
      </c>
      <c r="K1500">
        <f t="shared" si="23"/>
        <v>848.79278579416666</v>
      </c>
    </row>
    <row r="1501" spans="1:11" x14ac:dyDescent="0.2">
      <c r="A1501" t="s">
        <v>405</v>
      </c>
      <c r="B1501" t="s">
        <v>5142</v>
      </c>
      <c r="C1501" t="s">
        <v>5182</v>
      </c>
      <c r="D1501" t="s">
        <v>5183</v>
      </c>
      <c r="E1501" t="s">
        <v>32</v>
      </c>
      <c r="F1501" t="s">
        <v>11</v>
      </c>
      <c r="G1501" t="s">
        <v>24</v>
      </c>
      <c r="H1501">
        <f>21410*(1.01^10)</f>
        <v>23649.959705053894</v>
      </c>
      <c r="I1501">
        <f>129624*(1.01^10)</f>
        <v>143185.538384302</v>
      </c>
      <c r="J1501" t="s">
        <v>5184</v>
      </c>
      <c r="K1501">
        <f t="shared" si="23"/>
        <v>797.61016168192862</v>
      </c>
    </row>
    <row r="1502" spans="1:11" x14ac:dyDescent="0.2">
      <c r="A1502" t="s">
        <v>405</v>
      </c>
      <c r="B1502" t="s">
        <v>5142</v>
      </c>
      <c r="C1502" t="s">
        <v>5185</v>
      </c>
      <c r="D1502" t="s">
        <v>5186</v>
      </c>
      <c r="E1502" t="s">
        <v>203</v>
      </c>
      <c r="F1502" t="s">
        <v>108</v>
      </c>
      <c r="G1502" t="s">
        <v>24</v>
      </c>
      <c r="H1502">
        <f>32334*(1.01^10)</f>
        <v>35716.851803045894</v>
      </c>
      <c r="I1502">
        <f>192812*(1.01^10)</f>
        <v>212984.4012447852</v>
      </c>
      <c r="J1502" t="s">
        <v>5187</v>
      </c>
      <c r="K1502">
        <f t="shared" si="23"/>
        <v>835.86863484280855</v>
      </c>
    </row>
    <row r="1503" spans="1:11" x14ac:dyDescent="0.2">
      <c r="A1503" t="s">
        <v>405</v>
      </c>
      <c r="B1503" t="s">
        <v>5142</v>
      </c>
      <c r="C1503" t="s">
        <v>5188</v>
      </c>
      <c r="D1503" t="s">
        <v>5189</v>
      </c>
      <c r="E1503" t="s">
        <v>1328</v>
      </c>
      <c r="F1503" t="s">
        <v>458</v>
      </c>
      <c r="G1503" t="s">
        <v>24</v>
      </c>
      <c r="H1503">
        <f>21379*(1.01^10)</f>
        <v>23615.716419166147</v>
      </c>
      <c r="I1503">
        <f>128699*(1.01^10)</f>
        <v>142163.76291829665</v>
      </c>
      <c r="J1503" t="s">
        <v>5190</v>
      </c>
      <c r="K1503">
        <f t="shared" si="23"/>
        <v>422.72761439820812</v>
      </c>
    </row>
    <row r="1504" spans="1:11" x14ac:dyDescent="0.2">
      <c r="A1504" t="s">
        <v>405</v>
      </c>
      <c r="B1504" t="s">
        <v>5142</v>
      </c>
      <c r="C1504" t="s">
        <v>5192</v>
      </c>
      <c r="D1504" t="s">
        <v>5193</v>
      </c>
      <c r="E1504" t="s">
        <v>253</v>
      </c>
      <c r="F1504" t="s">
        <v>5</v>
      </c>
      <c r="G1504" t="s">
        <v>12</v>
      </c>
      <c r="H1504">
        <f>24942*(1.01^10)</f>
        <v>27551.485052006268</v>
      </c>
      <c r="I1504">
        <f>155425*(1.01^10)</f>
        <v>171685.89384203649</v>
      </c>
      <c r="J1504" t="s">
        <v>5194</v>
      </c>
      <c r="K1504">
        <f t="shared" si="23"/>
        <v>1160.7489745925916</v>
      </c>
    </row>
    <row r="1505" spans="1:11" x14ac:dyDescent="0.2">
      <c r="A1505" t="s">
        <v>405</v>
      </c>
      <c r="B1505" t="s">
        <v>5142</v>
      </c>
      <c r="C1505" t="s">
        <v>5195</v>
      </c>
      <c r="D1505" t="s">
        <v>5196</v>
      </c>
      <c r="E1505" t="s">
        <v>4</v>
      </c>
      <c r="F1505" t="s">
        <v>382</v>
      </c>
      <c r="G1505" t="s">
        <v>24</v>
      </c>
      <c r="H1505">
        <f>24345*(1.01^10)</f>
        <v>26892.025643135781</v>
      </c>
      <c r="I1505">
        <f>155413*(1.01^10)</f>
        <v>171672.63837653157</v>
      </c>
      <c r="J1505" t="s">
        <v>5197</v>
      </c>
      <c r="K1505">
        <f t="shared" si="23"/>
        <v>1009.8440343241198</v>
      </c>
    </row>
    <row r="1506" spans="1:11" x14ac:dyDescent="0.2">
      <c r="A1506" t="s">
        <v>405</v>
      </c>
      <c r="B1506" t="s">
        <v>5142</v>
      </c>
      <c r="C1506" t="s">
        <v>5198</v>
      </c>
      <c r="D1506" t="s">
        <v>5199</v>
      </c>
      <c r="E1506" t="s">
        <v>390</v>
      </c>
      <c r="F1506" t="s">
        <v>6</v>
      </c>
      <c r="G1506" t="s">
        <v>12</v>
      </c>
      <c r="H1506">
        <f>38459*(1.01^10)</f>
        <v>42482.66232118952</v>
      </c>
      <c r="I1506">
        <f>236243*(1.01^10)</f>
        <v>260959.24477351925</v>
      </c>
      <c r="J1506" t="s">
        <v>5200</v>
      </c>
      <c r="K1506">
        <f t="shared" si="23"/>
        <v>1009.9889698603918</v>
      </c>
    </row>
    <row r="1507" spans="1:11" x14ac:dyDescent="0.2">
      <c r="A1507" t="s">
        <v>405</v>
      </c>
      <c r="B1507" t="s">
        <v>5142</v>
      </c>
      <c r="C1507" t="s">
        <v>5201</v>
      </c>
      <c r="D1507" t="s">
        <v>5202</v>
      </c>
      <c r="E1507" t="s">
        <v>148</v>
      </c>
      <c r="F1507" t="s">
        <v>92</v>
      </c>
      <c r="G1507" t="s">
        <v>24</v>
      </c>
      <c r="H1507">
        <f>19163*(1.01^10)</f>
        <v>21167.873789254918</v>
      </c>
      <c r="I1507">
        <f>124940*(1.01^10)</f>
        <v>138011.48834887592</v>
      </c>
      <c r="J1507" t="s">
        <v>5203</v>
      </c>
      <c r="K1507">
        <f t="shared" si="23"/>
        <v>937.90104000999941</v>
      </c>
    </row>
    <row r="1508" spans="1:11" x14ac:dyDescent="0.2">
      <c r="A1508" t="s">
        <v>405</v>
      </c>
      <c r="B1508" t="s">
        <v>5142</v>
      </c>
      <c r="C1508" t="s">
        <v>5204</v>
      </c>
      <c r="D1508" t="s">
        <v>5205</v>
      </c>
      <c r="E1508" t="s">
        <v>2777</v>
      </c>
      <c r="F1508" t="s">
        <v>744</v>
      </c>
      <c r="G1508" t="s">
        <v>24</v>
      </c>
      <c r="H1508">
        <f>34568*(1.01^10)</f>
        <v>38184.577631214524</v>
      </c>
      <c r="I1508">
        <f>221731*(1.01^10)</f>
        <v>244928.96848955183</v>
      </c>
      <c r="J1508" t="s">
        <v>5206</v>
      </c>
      <c r="K1508">
        <f t="shared" si="23"/>
        <v>934.49969580382481</v>
      </c>
    </row>
    <row r="1509" spans="1:11" x14ac:dyDescent="0.2">
      <c r="A1509" t="s">
        <v>405</v>
      </c>
      <c r="B1509" t="s">
        <v>5142</v>
      </c>
      <c r="C1509" t="s">
        <v>5207</v>
      </c>
      <c r="D1509" t="s">
        <v>440</v>
      </c>
      <c r="E1509" t="s">
        <v>833</v>
      </c>
      <c r="F1509" t="s">
        <v>44</v>
      </c>
      <c r="G1509" t="s">
        <v>24</v>
      </c>
      <c r="H1509">
        <f>35298*(1.01^10)</f>
        <v>38990.951782764707</v>
      </c>
      <c r="I1509">
        <f>235612*(1.01^10)</f>
        <v>260262.22821238477</v>
      </c>
      <c r="J1509" t="s">
        <v>5208</v>
      </c>
      <c r="K1509">
        <f t="shared" si="23"/>
        <v>760.68093670786948</v>
      </c>
    </row>
    <row r="1510" spans="1:11" x14ac:dyDescent="0.2">
      <c r="A1510" t="s">
        <v>405</v>
      </c>
      <c r="B1510" t="s">
        <v>5142</v>
      </c>
      <c r="C1510" t="s">
        <v>5209</v>
      </c>
      <c r="D1510" t="s">
        <v>4545</v>
      </c>
      <c r="E1510" t="s">
        <v>1994</v>
      </c>
      <c r="F1510" t="s">
        <v>356</v>
      </c>
      <c r="G1510" t="s">
        <v>24</v>
      </c>
      <c r="H1510">
        <f>29983*(1.01^10)</f>
        <v>33119.885186204148</v>
      </c>
      <c r="I1510">
        <f>200149*(1.01^10)</f>
        <v>221089.01377892721</v>
      </c>
      <c r="J1510" t="s">
        <v>5210</v>
      </c>
      <c r="K1510">
        <f t="shared" si="23"/>
        <v>641.94719185384304</v>
      </c>
    </row>
    <row r="1511" spans="1:11" x14ac:dyDescent="0.2">
      <c r="A1511" t="s">
        <v>405</v>
      </c>
      <c r="B1511" t="s">
        <v>5142</v>
      </c>
      <c r="C1511" t="s">
        <v>5212</v>
      </c>
      <c r="D1511" t="s">
        <v>5213</v>
      </c>
      <c r="E1511" t="s">
        <v>784</v>
      </c>
      <c r="F1511" t="s">
        <v>411</v>
      </c>
      <c r="G1511" t="s">
        <v>24</v>
      </c>
      <c r="H1511">
        <f>22173*(1.01^10)</f>
        <v>24492.786386742642</v>
      </c>
      <c r="I1511">
        <f>142534*(1.01^10)</f>
        <v>157446.21002336065</v>
      </c>
      <c r="J1511" t="s">
        <v>5214</v>
      </c>
      <c r="K1511">
        <f t="shared" si="23"/>
        <v>531.19076783473963</v>
      </c>
    </row>
    <row r="1512" spans="1:11" x14ac:dyDescent="0.2">
      <c r="A1512" t="s">
        <v>405</v>
      </c>
      <c r="B1512" t="s">
        <v>819</v>
      </c>
      <c r="C1512" t="s">
        <v>5215</v>
      </c>
      <c r="D1512" t="s">
        <v>5216</v>
      </c>
      <c r="E1512" t="s">
        <v>1580</v>
      </c>
      <c r="F1512" t="s">
        <v>12</v>
      </c>
      <c r="G1512" t="s">
        <v>24</v>
      </c>
      <c r="H1512">
        <f>18515*(1.01^10)</f>
        <v>20452.078651988457</v>
      </c>
      <c r="I1512">
        <f>124716*(1.01^10)</f>
        <v>137764.05299278381</v>
      </c>
      <c r="J1512" t="s">
        <v>5217</v>
      </c>
      <c r="K1512">
        <f t="shared" si="23"/>
        <v>1257.9572579942062</v>
      </c>
    </row>
    <row r="1513" spans="1:11" x14ac:dyDescent="0.2">
      <c r="A1513" t="s">
        <v>405</v>
      </c>
      <c r="B1513" t="s">
        <v>819</v>
      </c>
      <c r="C1513" t="s">
        <v>5218</v>
      </c>
      <c r="D1513" t="s">
        <v>5219</v>
      </c>
      <c r="E1513" t="s">
        <v>998</v>
      </c>
      <c r="F1513" t="s">
        <v>92</v>
      </c>
      <c r="G1513" t="s">
        <v>17</v>
      </c>
      <c r="H1513">
        <f>50211*(1.01^10)</f>
        <v>55464.181539022</v>
      </c>
      <c r="I1513">
        <f>321491*(1.01^10)</f>
        <v>355126.07172057364</v>
      </c>
      <c r="J1513" t="s">
        <v>5220</v>
      </c>
      <c r="K1513">
        <f t="shared" si="23"/>
        <v>2032.072609445966</v>
      </c>
    </row>
    <row r="1514" spans="1:11" x14ac:dyDescent="0.2">
      <c r="A1514" t="s">
        <v>405</v>
      </c>
      <c r="B1514" t="s">
        <v>819</v>
      </c>
      <c r="C1514" t="s">
        <v>5222</v>
      </c>
      <c r="D1514" t="s">
        <v>5223</v>
      </c>
      <c r="E1514" t="s">
        <v>121</v>
      </c>
      <c r="F1514" t="s">
        <v>6</v>
      </c>
      <c r="G1514" t="s">
        <v>12</v>
      </c>
      <c r="H1514">
        <f>29654*(1.01^10)</f>
        <v>32756.464506943867</v>
      </c>
      <c r="I1514">
        <f>187123*(1.01^10)</f>
        <v>206700.20597332087</v>
      </c>
      <c r="J1514" t="s">
        <v>5224</v>
      </c>
      <c r="K1514">
        <f t="shared" si="23"/>
        <v>1345.8442089046307</v>
      </c>
    </row>
    <row r="1515" spans="1:11" x14ac:dyDescent="0.2">
      <c r="A1515" t="s">
        <v>405</v>
      </c>
      <c r="B1515" t="s">
        <v>819</v>
      </c>
      <c r="C1515" t="s">
        <v>5225</v>
      </c>
      <c r="D1515" t="s">
        <v>5226</v>
      </c>
      <c r="E1515" t="s">
        <v>313</v>
      </c>
      <c r="F1515" t="s">
        <v>158</v>
      </c>
      <c r="G1515" t="s">
        <v>24</v>
      </c>
      <c r="H1515">
        <f>11256*(1.01^10)</f>
        <v>12433.62664362852</v>
      </c>
      <c r="I1515">
        <f>71886*(1.01^10)</f>
        <v>79406.866107309863</v>
      </c>
      <c r="J1515" t="s">
        <v>5227</v>
      </c>
      <c r="K1515">
        <f t="shared" si="23"/>
        <v>929.33612157596042</v>
      </c>
    </row>
    <row r="1516" spans="1:11" x14ac:dyDescent="0.2">
      <c r="A1516" t="s">
        <v>405</v>
      </c>
      <c r="B1516" t="s">
        <v>819</v>
      </c>
      <c r="C1516" t="s">
        <v>5228</v>
      </c>
      <c r="D1516" t="s">
        <v>5229</v>
      </c>
      <c r="E1516" t="s">
        <v>67</v>
      </c>
      <c r="F1516" t="s">
        <v>5</v>
      </c>
      <c r="G1516" t="s">
        <v>24</v>
      </c>
      <c r="H1516">
        <f>27622*(1.01^10)</f>
        <v>30511.872348108296</v>
      </c>
      <c r="I1516">
        <f>183066*(1.01^10)</f>
        <v>202218.7540105276</v>
      </c>
      <c r="J1516" t="s">
        <v>5230</v>
      </c>
      <c r="K1516">
        <f t="shared" si="23"/>
        <v>990.90610446284836</v>
      </c>
    </row>
    <row r="1517" spans="1:11" x14ac:dyDescent="0.2">
      <c r="A1517" t="s">
        <v>405</v>
      </c>
      <c r="B1517" t="s">
        <v>819</v>
      </c>
      <c r="C1517" t="s">
        <v>5231</v>
      </c>
      <c r="D1517" t="s">
        <v>5232</v>
      </c>
      <c r="E1517" t="s">
        <v>333</v>
      </c>
      <c r="F1517" t="s">
        <v>17</v>
      </c>
      <c r="G1517" t="s">
        <v>24</v>
      </c>
      <c r="H1517">
        <f>23718*(1.01^10)</f>
        <v>26199.427570502954</v>
      </c>
      <c r="I1517">
        <f>143439*(1.01^10)</f>
        <v>158445.89304685779</v>
      </c>
      <c r="J1517" t="s">
        <v>5233</v>
      </c>
      <c r="K1517">
        <f t="shared" si="23"/>
        <v>526.94962685448286</v>
      </c>
    </row>
    <row r="1518" spans="1:11" x14ac:dyDescent="0.2">
      <c r="A1518" t="s">
        <v>405</v>
      </c>
      <c r="B1518" t="s">
        <v>819</v>
      </c>
      <c r="C1518" t="s">
        <v>5234</v>
      </c>
      <c r="D1518" t="s">
        <v>5235</v>
      </c>
      <c r="E1518" t="s">
        <v>777</v>
      </c>
      <c r="F1518" t="s">
        <v>92</v>
      </c>
      <c r="G1518" t="s">
        <v>24</v>
      </c>
      <c r="H1518">
        <f>24492*(1.01^10)</f>
        <v>27054.405095571226</v>
      </c>
      <c r="I1518">
        <f>162507*(1.01^10)</f>
        <v>179508.82773419865</v>
      </c>
      <c r="J1518" t="s">
        <v>5236</v>
      </c>
      <c r="K1518">
        <f t="shared" si="23"/>
        <v>1113.4253460726304</v>
      </c>
    </row>
    <row r="1519" spans="1:11" x14ac:dyDescent="0.2">
      <c r="A1519" t="s">
        <v>405</v>
      </c>
      <c r="B1519" t="s">
        <v>819</v>
      </c>
      <c r="C1519" t="s">
        <v>5238</v>
      </c>
      <c r="D1519" t="s">
        <v>5239</v>
      </c>
      <c r="E1519" t="s">
        <v>67</v>
      </c>
      <c r="F1519" t="s">
        <v>744</v>
      </c>
      <c r="G1519" t="s">
        <v>24</v>
      </c>
      <c r="H1519">
        <f>14684*(1.01^10)</f>
        <v>16220.27128953813</v>
      </c>
      <c r="I1519">
        <f>95454*(1.01^10)</f>
        <v>105440.60035900114</v>
      </c>
      <c r="J1519" t="s">
        <v>5240</v>
      </c>
      <c r="K1519">
        <f t="shared" si="23"/>
        <v>701.36002772707718</v>
      </c>
    </row>
    <row r="1520" spans="1:11" x14ac:dyDescent="0.2">
      <c r="A1520" t="s">
        <v>405</v>
      </c>
      <c r="B1520" t="s">
        <v>819</v>
      </c>
      <c r="C1520" t="s">
        <v>5242</v>
      </c>
      <c r="D1520" t="s">
        <v>3365</v>
      </c>
      <c r="E1520" t="s">
        <v>1352</v>
      </c>
      <c r="F1520" t="s">
        <v>382</v>
      </c>
      <c r="G1520" t="s">
        <v>24</v>
      </c>
      <c r="H1520">
        <f>34824*(1.01^10)</f>
        <v>38467.360895319791</v>
      </c>
      <c r="I1520">
        <f>237292*(1.01^10)</f>
        <v>262117.99338307561</v>
      </c>
      <c r="J1520" t="s">
        <v>5243</v>
      </c>
      <c r="K1520">
        <f t="shared" si="23"/>
        <v>1354.2370890833974</v>
      </c>
    </row>
    <row r="1521" spans="1:11" x14ac:dyDescent="0.2">
      <c r="A1521" t="s">
        <v>405</v>
      </c>
      <c r="B1521" t="s">
        <v>819</v>
      </c>
      <c r="C1521" t="s">
        <v>5244</v>
      </c>
      <c r="D1521" t="s">
        <v>5245</v>
      </c>
      <c r="E1521" t="s">
        <v>2795</v>
      </c>
      <c r="F1521" t="s">
        <v>11</v>
      </c>
      <c r="G1521" t="s">
        <v>12</v>
      </c>
      <c r="H1521">
        <f>21808*(1.01^10)</f>
        <v>24089.599310967555</v>
      </c>
      <c r="I1521">
        <f>141074*(1.01^10)</f>
        <v>155833.4617202603</v>
      </c>
      <c r="J1521" t="s">
        <v>5246</v>
      </c>
      <c r="K1521">
        <f t="shared" si="23"/>
        <v>1241.8245365456639</v>
      </c>
    </row>
    <row r="1522" spans="1:11" x14ac:dyDescent="0.2">
      <c r="A1522" t="s">
        <v>405</v>
      </c>
      <c r="B1522" t="s">
        <v>819</v>
      </c>
      <c r="C1522" t="s">
        <v>5247</v>
      </c>
      <c r="D1522" t="s">
        <v>5248</v>
      </c>
      <c r="E1522" t="s">
        <v>264</v>
      </c>
      <c r="F1522" t="s">
        <v>5</v>
      </c>
      <c r="G1522" t="s">
        <v>24</v>
      </c>
      <c r="H1522">
        <f>16554*(1.01^10)</f>
        <v>18285.914664057083</v>
      </c>
      <c r="I1522">
        <f>112042*(1.01^10)</f>
        <v>123764.0721753222</v>
      </c>
      <c r="J1522" t="s">
        <v>5249</v>
      </c>
      <c r="K1522">
        <f t="shared" si="23"/>
        <v>1437.0931584809744</v>
      </c>
    </row>
    <row r="1523" spans="1:11" x14ac:dyDescent="0.2">
      <c r="A1523" t="s">
        <v>405</v>
      </c>
      <c r="B1523" t="s">
        <v>819</v>
      </c>
      <c r="C1523" t="s">
        <v>5250</v>
      </c>
      <c r="D1523" t="s">
        <v>5251</v>
      </c>
      <c r="E1523" t="s">
        <v>164</v>
      </c>
      <c r="F1523" t="s">
        <v>11</v>
      </c>
      <c r="G1523" t="s">
        <v>24</v>
      </c>
      <c r="H1523">
        <f>15028*(1.01^10)</f>
        <v>16600.261300679584</v>
      </c>
      <c r="I1523">
        <f>94358*(1.01^10)</f>
        <v>104229.93450955045</v>
      </c>
      <c r="J1523" t="s">
        <v>5252</v>
      </c>
      <c r="K1523">
        <f t="shared" si="23"/>
        <v>851.35628567374204</v>
      </c>
    </row>
    <row r="1524" spans="1:11" x14ac:dyDescent="0.2">
      <c r="A1524" t="s">
        <v>405</v>
      </c>
      <c r="B1524" t="s">
        <v>819</v>
      </c>
      <c r="C1524" t="s">
        <v>5253</v>
      </c>
      <c r="D1524" t="s">
        <v>5254</v>
      </c>
      <c r="E1524" t="s">
        <v>410</v>
      </c>
      <c r="F1524" t="s">
        <v>6</v>
      </c>
      <c r="G1524" t="s">
        <v>24</v>
      </c>
      <c r="H1524">
        <f>25437*(1.01^10)</f>
        <v>28098.273004084815</v>
      </c>
      <c r="I1524">
        <f>178472*(1.01^10)</f>
        <v>197144.11996638853</v>
      </c>
      <c r="J1524" t="s">
        <v>5255</v>
      </c>
      <c r="K1524">
        <f t="shared" si="23"/>
        <v>764.00376668340903</v>
      </c>
    </row>
    <row r="1525" spans="1:11" x14ac:dyDescent="0.2">
      <c r="A1525" t="s">
        <v>405</v>
      </c>
      <c r="B1525" t="s">
        <v>819</v>
      </c>
      <c r="C1525" t="s">
        <v>5256</v>
      </c>
      <c r="D1525" t="s">
        <v>5257</v>
      </c>
      <c r="E1525" t="s">
        <v>28</v>
      </c>
      <c r="F1525" t="s">
        <v>264</v>
      </c>
      <c r="G1525" t="s">
        <v>12</v>
      </c>
      <c r="H1525">
        <f>24444*(1.01^10)</f>
        <v>27001.383233551489</v>
      </c>
      <c r="I1525">
        <f>166226*(1.01^10)</f>
        <v>183616.91741860291</v>
      </c>
      <c r="J1525" t="s">
        <v>5258</v>
      </c>
      <c r="K1525">
        <f t="shared" si="23"/>
        <v>497.97016637076069</v>
      </c>
    </row>
    <row r="1526" spans="1:11" x14ac:dyDescent="0.2">
      <c r="A1526" t="s">
        <v>405</v>
      </c>
      <c r="B1526" t="s">
        <v>621</v>
      </c>
      <c r="C1526" t="s">
        <v>5259</v>
      </c>
      <c r="D1526" t="s">
        <v>5260</v>
      </c>
      <c r="E1526" t="s">
        <v>425</v>
      </c>
      <c r="F1526" t="s">
        <v>6</v>
      </c>
      <c r="G1526" t="s">
        <v>24</v>
      </c>
      <c r="H1526">
        <f>22638*(1.01^10)</f>
        <v>25006.435675058852</v>
      </c>
      <c r="I1526">
        <f>136768*(1.01^10)</f>
        <v>151076.95884823965</v>
      </c>
      <c r="J1526" t="s">
        <v>5261</v>
      </c>
      <c r="K1526">
        <f t="shared" si="23"/>
        <v>879.85061430315136</v>
      </c>
    </row>
    <row r="1527" spans="1:11" x14ac:dyDescent="0.2">
      <c r="A1527" t="s">
        <v>405</v>
      </c>
      <c r="B1527" t="s">
        <v>621</v>
      </c>
      <c r="C1527" t="s">
        <v>5262</v>
      </c>
      <c r="D1527" t="s">
        <v>3164</v>
      </c>
      <c r="E1527" t="s">
        <v>67</v>
      </c>
      <c r="F1527" t="s">
        <v>5</v>
      </c>
      <c r="G1527" t="s">
        <v>24</v>
      </c>
      <c r="H1527">
        <f>25454*(1.01^10)</f>
        <v>28117.051580216805</v>
      </c>
      <c r="I1527">
        <f>148711*(1.01^10)</f>
        <v>164269.46089202567</v>
      </c>
      <c r="J1527" t="s">
        <v>5263</v>
      </c>
      <c r="K1527">
        <f t="shared" si="23"/>
        <v>1690.1754585395211</v>
      </c>
    </row>
    <row r="1528" spans="1:11" x14ac:dyDescent="0.2">
      <c r="A1528" t="s">
        <v>405</v>
      </c>
      <c r="B1528" t="s">
        <v>621</v>
      </c>
      <c r="C1528" t="s">
        <v>5264</v>
      </c>
      <c r="D1528" t="s">
        <v>5265</v>
      </c>
      <c r="E1528" t="s">
        <v>1362</v>
      </c>
      <c r="F1528" t="s">
        <v>405</v>
      </c>
      <c r="G1528" t="s">
        <v>12</v>
      </c>
      <c r="H1528">
        <f>40317*(1.01^10)</f>
        <v>44535.050230203538</v>
      </c>
      <c r="I1528">
        <f>232114*(1.01^10)</f>
        <v>256398.26001769639</v>
      </c>
      <c r="J1528" t="s">
        <v>5266</v>
      </c>
      <c r="K1528">
        <f t="shared" si="23"/>
        <v>1458.7100174971654</v>
      </c>
    </row>
    <row r="1529" spans="1:11" x14ac:dyDescent="0.2">
      <c r="A1529" t="s">
        <v>405</v>
      </c>
      <c r="B1529" t="s">
        <v>621</v>
      </c>
      <c r="C1529" t="s">
        <v>5267</v>
      </c>
      <c r="D1529" t="s">
        <v>5268</v>
      </c>
      <c r="E1529" t="s">
        <v>520</v>
      </c>
      <c r="F1529" t="s">
        <v>744</v>
      </c>
      <c r="G1529" t="s">
        <v>24</v>
      </c>
      <c r="H1529">
        <f>16669*(1.01^10)</f>
        <v>18412.94620847937</v>
      </c>
      <c r="I1529">
        <f>92207*(1.01^10)</f>
        <v>101853.89231779096</v>
      </c>
      <c r="J1529" t="s">
        <v>2586</v>
      </c>
      <c r="K1529">
        <f t="shared" si="23"/>
        <v>419.1518202378229</v>
      </c>
    </row>
    <row r="1530" spans="1:11" x14ac:dyDescent="0.2">
      <c r="A1530" t="s">
        <v>405</v>
      </c>
      <c r="B1530" t="s">
        <v>621</v>
      </c>
      <c r="C1530" t="s">
        <v>5269</v>
      </c>
      <c r="D1530" t="s">
        <v>5270</v>
      </c>
      <c r="E1530" t="s">
        <v>998</v>
      </c>
      <c r="F1530" t="s">
        <v>274</v>
      </c>
      <c r="G1530" t="s">
        <v>24</v>
      </c>
      <c r="H1530">
        <f>22417*(1.01^10)</f>
        <v>24762.314185342977</v>
      </c>
      <c r="I1530">
        <f>124149*(1.01^10)</f>
        <v>137137.73224767565</v>
      </c>
      <c r="J1530" t="s">
        <v>5271</v>
      </c>
      <c r="K1530">
        <f t="shared" si="23"/>
        <v>748.5243142326118</v>
      </c>
    </row>
    <row r="1531" spans="1:11" x14ac:dyDescent="0.2">
      <c r="A1531" t="s">
        <v>405</v>
      </c>
      <c r="B1531" t="s">
        <v>621</v>
      </c>
      <c r="C1531" t="s">
        <v>5272</v>
      </c>
      <c r="D1531" t="s">
        <v>5273</v>
      </c>
      <c r="E1531" t="s">
        <v>676</v>
      </c>
      <c r="F1531" t="s">
        <v>422</v>
      </c>
      <c r="G1531" t="s">
        <v>11</v>
      </c>
      <c r="H1531">
        <f>46764*(1.01^10)</f>
        <v>51656.549072729576</v>
      </c>
      <c r="I1531">
        <f>267504*(1.01^10)</f>
        <v>295490.83703599893</v>
      </c>
      <c r="J1531" t="s">
        <v>5274</v>
      </c>
      <c r="K1531">
        <f t="shared" si="23"/>
        <v>618.2431155715791</v>
      </c>
    </row>
    <row r="1532" spans="1:11" x14ac:dyDescent="0.2">
      <c r="A1532" t="s">
        <v>405</v>
      </c>
      <c r="B1532" t="s">
        <v>621</v>
      </c>
      <c r="C1532" t="s">
        <v>5276</v>
      </c>
      <c r="D1532" t="s">
        <v>5277</v>
      </c>
      <c r="E1532" t="s">
        <v>422</v>
      </c>
      <c r="F1532" t="s">
        <v>24</v>
      </c>
      <c r="G1532" t="s">
        <v>24</v>
      </c>
      <c r="H1532">
        <f>14150*(1.01^10)</f>
        <v>15630.403074568547</v>
      </c>
      <c r="I1532">
        <f>77558*(1.01^10)</f>
        <v>85672.282802642221</v>
      </c>
      <c r="J1532" t="s">
        <v>5278</v>
      </c>
      <c r="K1532">
        <f t="shared" si="23"/>
        <v>1136.8402707356984</v>
      </c>
    </row>
    <row r="1533" spans="1:11" x14ac:dyDescent="0.2">
      <c r="A1533" t="s">
        <v>405</v>
      </c>
      <c r="B1533" t="s">
        <v>621</v>
      </c>
      <c r="C1533" t="s">
        <v>5279</v>
      </c>
      <c r="D1533" t="s">
        <v>5280</v>
      </c>
      <c r="E1533" t="s">
        <v>1387</v>
      </c>
      <c r="F1533" t="s">
        <v>6</v>
      </c>
      <c r="G1533" t="s">
        <v>24</v>
      </c>
      <c r="H1533">
        <f>39993*(1.01^10)</f>
        <v>44177.152661570311</v>
      </c>
      <c r="I1533">
        <f>235761*(1.01^10)</f>
        <v>260426.81690907103</v>
      </c>
      <c r="J1533" t="s">
        <v>5281</v>
      </c>
      <c r="K1533">
        <f t="shared" si="23"/>
        <v>475.34779374762195</v>
      </c>
    </row>
    <row r="1534" spans="1:11" x14ac:dyDescent="0.2">
      <c r="A1534" t="s">
        <v>405</v>
      </c>
      <c r="B1534" t="s">
        <v>621</v>
      </c>
      <c r="C1534" t="s">
        <v>5283</v>
      </c>
      <c r="D1534" t="s">
        <v>5284</v>
      </c>
      <c r="E1534" t="s">
        <v>689</v>
      </c>
      <c r="F1534" t="s">
        <v>16</v>
      </c>
      <c r="G1534" t="s">
        <v>12</v>
      </c>
      <c r="H1534">
        <f>36955*(1.01^10)</f>
        <v>40821.310644571073</v>
      </c>
      <c r="I1534">
        <f>210445*(1.01^10)</f>
        <v>232462.20318216097</v>
      </c>
      <c r="J1534" t="s">
        <v>5285</v>
      </c>
      <c r="K1534">
        <f t="shared" si="23"/>
        <v>775.51936057595151</v>
      </c>
    </row>
    <row r="1535" spans="1:11" x14ac:dyDescent="0.2">
      <c r="A1535" t="s">
        <v>405</v>
      </c>
      <c r="B1535" t="s">
        <v>621</v>
      </c>
      <c r="C1535" t="s">
        <v>5286</v>
      </c>
      <c r="D1535" t="s">
        <v>5287</v>
      </c>
      <c r="E1535" t="s">
        <v>5288</v>
      </c>
      <c r="F1535" t="s">
        <v>121</v>
      </c>
      <c r="G1535" t="s">
        <v>24</v>
      </c>
      <c r="H1535">
        <f>41725*(1.01^10)</f>
        <v>46090.358182782518</v>
      </c>
      <c r="I1535">
        <f>235188*(1.01^10)</f>
        <v>259793.86843121043</v>
      </c>
      <c r="J1535" t="s">
        <v>5289</v>
      </c>
      <c r="K1535">
        <f t="shared" si="23"/>
        <v>314.44842512916472</v>
      </c>
    </row>
    <row r="1536" spans="1:11" x14ac:dyDescent="0.2">
      <c r="A1536" t="s">
        <v>405</v>
      </c>
      <c r="B1536" t="s">
        <v>1288</v>
      </c>
      <c r="C1536" t="s">
        <v>5290</v>
      </c>
      <c r="D1536" t="s">
        <v>5291</v>
      </c>
      <c r="E1536" t="s">
        <v>337</v>
      </c>
      <c r="F1536" t="s">
        <v>744</v>
      </c>
      <c r="G1536" t="s">
        <v>24</v>
      </c>
      <c r="H1536">
        <f>23590*(1.01^10)</f>
        <v>26058.035938450321</v>
      </c>
      <c r="I1536">
        <f>146586*(1.01^10)</f>
        <v>161922.13887552687</v>
      </c>
      <c r="J1536" t="s">
        <v>5292</v>
      </c>
      <c r="K1536">
        <f t="shared" si="23"/>
        <v>1365.8777403707199</v>
      </c>
    </row>
    <row r="1537" spans="1:11" x14ac:dyDescent="0.2">
      <c r="A1537" t="s">
        <v>405</v>
      </c>
      <c r="B1537" t="s">
        <v>1288</v>
      </c>
      <c r="C1537" t="s">
        <v>5293</v>
      </c>
      <c r="D1537" t="s">
        <v>5294</v>
      </c>
      <c r="E1537" t="s">
        <v>977</v>
      </c>
      <c r="F1537" t="s">
        <v>318</v>
      </c>
      <c r="G1537" t="s">
        <v>12</v>
      </c>
      <c r="H1537">
        <f>41597*(1.01^10)</f>
        <v>45948.966550729885</v>
      </c>
      <c r="I1537">
        <f>254753*(1.01^10)</f>
        <v>281405.80031488062</v>
      </c>
      <c r="J1537" t="s">
        <v>5295</v>
      </c>
      <c r="K1537">
        <f t="shared" si="23"/>
        <v>1682.6165157331761</v>
      </c>
    </row>
    <row r="1538" spans="1:11" x14ac:dyDescent="0.2">
      <c r="A1538" t="s">
        <v>405</v>
      </c>
      <c r="B1538" t="s">
        <v>1288</v>
      </c>
      <c r="C1538" t="s">
        <v>5296</v>
      </c>
      <c r="D1538" t="s">
        <v>5297</v>
      </c>
      <c r="E1538" t="s">
        <v>589</v>
      </c>
      <c r="F1538" t="s">
        <v>6</v>
      </c>
      <c r="G1538" t="s">
        <v>24</v>
      </c>
      <c r="H1538">
        <f>27774*(1.01^10)</f>
        <v>30679.7749111708</v>
      </c>
      <c r="I1538">
        <f>173487*(1.01^10)</f>
        <v>191637.57867121368</v>
      </c>
      <c r="J1538" t="s">
        <v>5298</v>
      </c>
      <c r="K1538">
        <f t="shared" si="23"/>
        <v>1439.9192902618868</v>
      </c>
    </row>
    <row r="1539" spans="1:11" x14ac:dyDescent="0.2">
      <c r="A1539" t="s">
        <v>405</v>
      </c>
      <c r="B1539" t="s">
        <v>1288</v>
      </c>
      <c r="C1539" t="s">
        <v>5299</v>
      </c>
      <c r="D1539" t="s">
        <v>5300</v>
      </c>
      <c r="E1539" t="s">
        <v>126</v>
      </c>
      <c r="F1539" t="s">
        <v>11</v>
      </c>
      <c r="G1539" t="s">
        <v>24</v>
      </c>
      <c r="H1539">
        <f>14706*(1.01^10)</f>
        <v>16244.572976297177</v>
      </c>
      <c r="I1539">
        <f>87718*(1.01^10)</f>
        <v>96895.243596820059</v>
      </c>
      <c r="J1539" t="s">
        <v>5301</v>
      </c>
      <c r="K1539">
        <f t="shared" ref="K1539:K1602" si="24">I1539/J1539</f>
        <v>1161.834377492251</v>
      </c>
    </row>
    <row r="1540" spans="1:11" x14ac:dyDescent="0.2">
      <c r="A1540" t="s">
        <v>405</v>
      </c>
      <c r="B1540" t="s">
        <v>1288</v>
      </c>
      <c r="C1540" t="s">
        <v>5302</v>
      </c>
      <c r="D1540" t="s">
        <v>5303</v>
      </c>
      <c r="E1540" t="s">
        <v>180</v>
      </c>
      <c r="F1540" t="s">
        <v>11</v>
      </c>
      <c r="G1540" t="s">
        <v>24</v>
      </c>
      <c r="H1540">
        <f>17113*(1.01^10)</f>
        <v>18903.398432161946</v>
      </c>
      <c r="I1540">
        <f>108130*(1.01^10)</f>
        <v>119442.79042071357</v>
      </c>
      <c r="J1540" t="s">
        <v>5304</v>
      </c>
      <c r="K1540">
        <f t="shared" si="24"/>
        <v>1203.2460661356008</v>
      </c>
    </row>
    <row r="1541" spans="1:11" x14ac:dyDescent="0.2">
      <c r="A1541" t="s">
        <v>405</v>
      </c>
      <c r="B1541" t="s">
        <v>1288</v>
      </c>
      <c r="C1541" t="s">
        <v>5305</v>
      </c>
      <c r="D1541" t="s">
        <v>5306</v>
      </c>
      <c r="E1541" t="s">
        <v>1303</v>
      </c>
      <c r="F1541" t="s">
        <v>6</v>
      </c>
      <c r="G1541" t="s">
        <v>12</v>
      </c>
      <c r="H1541">
        <f>42065*(1.01^10)</f>
        <v>46465.929705422328</v>
      </c>
      <c r="I1541">
        <f>260154*(1.01^10)</f>
        <v>287371.86441422655</v>
      </c>
      <c r="J1541" t="s">
        <v>5307</v>
      </c>
      <c r="K1541">
        <f t="shared" si="24"/>
        <v>1201.3796535414247</v>
      </c>
    </row>
    <row r="1542" spans="1:11" x14ac:dyDescent="0.2">
      <c r="A1542" t="s">
        <v>405</v>
      </c>
      <c r="B1542" t="s">
        <v>1288</v>
      </c>
      <c r="C1542" t="s">
        <v>5308</v>
      </c>
      <c r="D1542" t="s">
        <v>5309</v>
      </c>
      <c r="E1542" t="s">
        <v>2795</v>
      </c>
      <c r="F1542" t="s">
        <v>24</v>
      </c>
      <c r="G1542" t="s">
        <v>24</v>
      </c>
      <c r="H1542">
        <f>14895*(1.01^10)</f>
        <v>16453.346557999896</v>
      </c>
      <c r="I1542">
        <f>94485*(1.01^10)</f>
        <v>104370.22151947768</v>
      </c>
      <c r="J1542" t="s">
        <v>5310</v>
      </c>
      <c r="K1542">
        <f t="shared" si="24"/>
        <v>1156.6692192906232</v>
      </c>
    </row>
    <row r="1543" spans="1:11" x14ac:dyDescent="0.2">
      <c r="A1543" t="s">
        <v>405</v>
      </c>
      <c r="B1543" t="s">
        <v>1122</v>
      </c>
      <c r="C1543" t="s">
        <v>5311</v>
      </c>
      <c r="D1543" t="s">
        <v>5312</v>
      </c>
      <c r="E1543" t="s">
        <v>180</v>
      </c>
      <c r="F1543" t="s">
        <v>5</v>
      </c>
      <c r="G1543" t="s">
        <v>12</v>
      </c>
      <c r="H1543">
        <f>26803*(1.01^10)</f>
        <v>29607.186827396519</v>
      </c>
      <c r="I1543">
        <f>159686*(1.01^10)</f>
        <v>176392.68871841364</v>
      </c>
      <c r="J1543" t="s">
        <v>5313</v>
      </c>
      <c r="K1543">
        <f t="shared" si="24"/>
        <v>1418.8191381706858</v>
      </c>
    </row>
    <row r="1544" spans="1:11" x14ac:dyDescent="0.2">
      <c r="A1544" t="s">
        <v>405</v>
      </c>
      <c r="B1544" t="s">
        <v>1122</v>
      </c>
      <c r="C1544" t="s">
        <v>5314</v>
      </c>
      <c r="D1544" t="s">
        <v>5315</v>
      </c>
      <c r="E1544" t="s">
        <v>612</v>
      </c>
      <c r="F1544" t="s">
        <v>12</v>
      </c>
      <c r="G1544" t="s">
        <v>24</v>
      </c>
      <c r="H1544">
        <f>24279*(1.01^10)</f>
        <v>26819.120582858639</v>
      </c>
      <c r="I1544">
        <f>148941*(1.01^10)</f>
        <v>164523.52398087023</v>
      </c>
      <c r="J1544" t="s">
        <v>5316</v>
      </c>
      <c r="K1544">
        <f t="shared" si="24"/>
        <v>1202.1004558165505</v>
      </c>
    </row>
    <row r="1545" spans="1:11" x14ac:dyDescent="0.2">
      <c r="A1545" t="s">
        <v>405</v>
      </c>
      <c r="B1545" t="s">
        <v>1122</v>
      </c>
      <c r="C1545" t="s">
        <v>5317</v>
      </c>
      <c r="D1545" t="s">
        <v>5318</v>
      </c>
      <c r="E1545" t="s">
        <v>253</v>
      </c>
      <c r="F1545" t="s">
        <v>17</v>
      </c>
      <c r="G1545" t="s">
        <v>24</v>
      </c>
      <c r="H1545">
        <f>32945*(1.01^10)</f>
        <v>36391.775921672139</v>
      </c>
      <c r="I1545">
        <f>192213*(1.01^10)</f>
        <v>212322.73259166389</v>
      </c>
      <c r="J1545" t="s">
        <v>5319</v>
      </c>
      <c r="K1545">
        <f t="shared" si="24"/>
        <v>1020.1678548415143</v>
      </c>
    </row>
    <row r="1546" spans="1:11" x14ac:dyDescent="0.2">
      <c r="A1546" t="s">
        <v>405</v>
      </c>
      <c r="B1546" t="s">
        <v>1122</v>
      </c>
      <c r="C1546" t="s">
        <v>5320</v>
      </c>
      <c r="D1546" t="s">
        <v>5321</v>
      </c>
      <c r="E1546" t="s">
        <v>131</v>
      </c>
      <c r="F1546" t="s">
        <v>11</v>
      </c>
      <c r="G1546" t="s">
        <v>24</v>
      </c>
      <c r="H1546">
        <f>13631*(1.01^10)</f>
        <v>15057.104191480132</v>
      </c>
      <c r="I1546">
        <f>78185*(1.01^10)</f>
        <v>86364.880875275048</v>
      </c>
      <c r="J1546" t="s">
        <v>5322</v>
      </c>
      <c r="K1546">
        <f t="shared" si="24"/>
        <v>1848.5841603793995</v>
      </c>
    </row>
    <row r="1547" spans="1:11" x14ac:dyDescent="0.2">
      <c r="A1547" t="s">
        <v>405</v>
      </c>
      <c r="B1547" t="s">
        <v>1122</v>
      </c>
      <c r="C1547" t="s">
        <v>5323</v>
      </c>
      <c r="D1547" t="s">
        <v>5324</v>
      </c>
      <c r="E1547" t="s">
        <v>137</v>
      </c>
      <c r="F1547" t="s">
        <v>6</v>
      </c>
      <c r="G1547" t="s">
        <v>24</v>
      </c>
      <c r="H1547">
        <f>20564*(1.01^10)</f>
        <v>22715.449386956014</v>
      </c>
      <c r="I1547">
        <f>121818*(1.01^10)</f>
        <v>134562.85807334213</v>
      </c>
      <c r="J1547" t="s">
        <v>5325</v>
      </c>
      <c r="K1547">
        <f t="shared" si="24"/>
        <v>1103.2590413399059</v>
      </c>
    </row>
    <row r="1548" spans="1:11" x14ac:dyDescent="0.2">
      <c r="A1548" t="s">
        <v>108</v>
      </c>
      <c r="B1548" t="s">
        <v>416</v>
      </c>
      <c r="C1548" t="s">
        <v>5326</v>
      </c>
      <c r="D1548" t="s">
        <v>5327</v>
      </c>
      <c r="E1548" t="s">
        <v>152</v>
      </c>
      <c r="F1548" t="s">
        <v>12</v>
      </c>
      <c r="G1548" t="s">
        <v>24</v>
      </c>
      <c r="H1548">
        <f>1926*(1.01^10)</f>
        <v>2127.5022135419804</v>
      </c>
      <c r="I1548">
        <f>10038*(1.01^10)</f>
        <v>11088.196894877674</v>
      </c>
      <c r="J1548" t="s">
        <v>5328</v>
      </c>
      <c r="K1548">
        <f t="shared" si="24"/>
        <v>3.3754024033113161</v>
      </c>
    </row>
    <row r="1549" spans="1:11" x14ac:dyDescent="0.2">
      <c r="A1549" t="s">
        <v>108</v>
      </c>
      <c r="B1549" t="s">
        <v>416</v>
      </c>
      <c r="C1549" t="s">
        <v>5329</v>
      </c>
      <c r="D1549" t="s">
        <v>5330</v>
      </c>
      <c r="E1549" t="s">
        <v>674</v>
      </c>
      <c r="F1549" t="s">
        <v>17</v>
      </c>
      <c r="G1549" t="s">
        <v>12</v>
      </c>
      <c r="H1549">
        <f>6947*(1.01^10)</f>
        <v>7673.8099052316393</v>
      </c>
      <c r="I1549">
        <f>33671*(1.01^10)</f>
        <v>37193.731584720677</v>
      </c>
      <c r="J1549" t="s">
        <v>3454</v>
      </c>
      <c r="K1549">
        <f t="shared" si="24"/>
        <v>39.525750887057043</v>
      </c>
    </row>
    <row r="1550" spans="1:11" x14ac:dyDescent="0.2">
      <c r="A1550" t="s">
        <v>108</v>
      </c>
      <c r="B1550" t="s">
        <v>1900</v>
      </c>
      <c r="C1550" t="s">
        <v>5331</v>
      </c>
      <c r="D1550" t="s">
        <v>5332</v>
      </c>
      <c r="E1550" t="s">
        <v>121</v>
      </c>
      <c r="F1550" t="s">
        <v>92</v>
      </c>
      <c r="G1550" t="s">
        <v>12</v>
      </c>
      <c r="H1550">
        <f>14309*(1.01^10)</f>
        <v>15806.037992508929</v>
      </c>
      <c r="I1550">
        <f>71675*(1.01^10)</f>
        <v>79173.790838848101</v>
      </c>
      <c r="J1550" t="s">
        <v>3075</v>
      </c>
      <c r="K1550">
        <f t="shared" si="24"/>
        <v>94.705491434028829</v>
      </c>
    </row>
    <row r="1551" spans="1:11" x14ac:dyDescent="0.2">
      <c r="A1551" t="s">
        <v>108</v>
      </c>
      <c r="B1551" t="s">
        <v>1900</v>
      </c>
      <c r="C1551" t="s">
        <v>5333</v>
      </c>
      <c r="D1551" t="s">
        <v>5334</v>
      </c>
      <c r="E1551" t="s">
        <v>91</v>
      </c>
      <c r="F1551" t="s">
        <v>12</v>
      </c>
      <c r="G1551" t="s">
        <v>12</v>
      </c>
      <c r="H1551">
        <f>13714*(1.01^10)</f>
        <v>15148.787827889262</v>
      </c>
      <c r="I1551">
        <f>64760*(1.01^10)</f>
        <v>71535.328841629613</v>
      </c>
      <c r="J1551" t="s">
        <v>1062</v>
      </c>
      <c r="K1551">
        <f t="shared" si="24"/>
        <v>216.77372376251398</v>
      </c>
    </row>
    <row r="1552" spans="1:11" x14ac:dyDescent="0.2">
      <c r="A1552" t="s">
        <v>108</v>
      </c>
      <c r="B1552" t="s">
        <v>2586</v>
      </c>
      <c r="C1552" t="s">
        <v>5335</v>
      </c>
      <c r="D1552" t="s">
        <v>5336</v>
      </c>
      <c r="E1552" t="s">
        <v>172</v>
      </c>
      <c r="F1552" t="s">
        <v>5</v>
      </c>
      <c r="G1552" t="s">
        <v>17</v>
      </c>
      <c r="H1552">
        <f>20897*(1.01^10)</f>
        <v>23083.288554717947</v>
      </c>
      <c r="I1552">
        <f>98895*(1.01^10)</f>
        <v>109241.6050925411</v>
      </c>
      <c r="J1552" t="s">
        <v>781</v>
      </c>
      <c r="K1552">
        <f t="shared" si="24"/>
        <v>366.58256742463453</v>
      </c>
    </row>
    <row r="1553" spans="1:11" x14ac:dyDescent="0.2">
      <c r="A1553" t="s">
        <v>108</v>
      </c>
      <c r="B1553" t="s">
        <v>2586</v>
      </c>
      <c r="C1553" t="s">
        <v>5337</v>
      </c>
      <c r="D1553" t="s">
        <v>5338</v>
      </c>
      <c r="E1553" t="s">
        <v>333</v>
      </c>
      <c r="F1553" t="s">
        <v>5</v>
      </c>
      <c r="G1553" t="s">
        <v>24</v>
      </c>
      <c r="H1553">
        <f>9646*(1.01^10)</f>
        <v>10655.185021716481</v>
      </c>
      <c r="I1553">
        <f>47955*(1.01^10)</f>
        <v>52972.154024094321</v>
      </c>
      <c r="J1553" t="s">
        <v>5339</v>
      </c>
      <c r="K1553">
        <f t="shared" si="24"/>
        <v>117.19503102675735</v>
      </c>
    </row>
    <row r="1554" spans="1:11" x14ac:dyDescent="0.2">
      <c r="A1554" t="s">
        <v>108</v>
      </c>
      <c r="B1554" t="s">
        <v>591</v>
      </c>
      <c r="C1554" t="s">
        <v>5340</v>
      </c>
      <c r="D1554" t="s">
        <v>5341</v>
      </c>
      <c r="E1554" t="s">
        <v>535</v>
      </c>
      <c r="F1554" t="s">
        <v>92</v>
      </c>
      <c r="G1554" t="s">
        <v>11</v>
      </c>
      <c r="H1554">
        <f>47775*(1.01^10)</f>
        <v>52773.322041520303</v>
      </c>
      <c r="I1554">
        <f>219450*(1.01^10)</f>
        <v>242409.32542148887</v>
      </c>
      <c r="J1554" t="s">
        <v>5342</v>
      </c>
      <c r="K1554">
        <f t="shared" si="24"/>
        <v>430.56718547333725</v>
      </c>
    </row>
    <row r="1555" spans="1:11" x14ac:dyDescent="0.2">
      <c r="A1555" t="s">
        <v>108</v>
      </c>
      <c r="B1555" t="s">
        <v>591</v>
      </c>
      <c r="C1555" t="s">
        <v>5343</v>
      </c>
      <c r="D1555" t="s">
        <v>5344</v>
      </c>
      <c r="E1555" t="s">
        <v>313</v>
      </c>
      <c r="F1555" t="s">
        <v>17</v>
      </c>
      <c r="G1555" t="s">
        <v>24</v>
      </c>
      <c r="H1555">
        <f>7738*(1.01^10)</f>
        <v>8547.5660064319018</v>
      </c>
      <c r="I1555">
        <f>36392*(1.01^10)</f>
        <v>40199.408387964562</v>
      </c>
      <c r="J1555" t="s">
        <v>676</v>
      </c>
      <c r="K1555">
        <f t="shared" si="24"/>
        <v>229.7109050740832</v>
      </c>
    </row>
    <row r="1556" spans="1:11" x14ac:dyDescent="0.2">
      <c r="A1556" t="s">
        <v>108</v>
      </c>
      <c r="B1556" t="s">
        <v>591</v>
      </c>
      <c r="C1556" t="s">
        <v>5345</v>
      </c>
      <c r="D1556" t="s">
        <v>5346</v>
      </c>
      <c r="E1556" t="s">
        <v>411</v>
      </c>
      <c r="F1556" t="s">
        <v>17</v>
      </c>
      <c r="G1556" t="s">
        <v>12</v>
      </c>
      <c r="H1556">
        <f>6054*(1.01^10)</f>
        <v>6687.3823472394333</v>
      </c>
      <c r="I1556">
        <f>27741*(1.01^10)</f>
        <v>30643.322381032231</v>
      </c>
      <c r="J1556" t="s">
        <v>493</v>
      </c>
      <c r="K1556">
        <f t="shared" si="24"/>
        <v>141.8672332455196</v>
      </c>
    </row>
    <row r="1557" spans="1:11" x14ac:dyDescent="0.2">
      <c r="A1557" t="s">
        <v>382</v>
      </c>
      <c r="B1557" t="s">
        <v>1646</v>
      </c>
      <c r="C1557" t="s">
        <v>5347</v>
      </c>
      <c r="D1557" t="s">
        <v>5348</v>
      </c>
      <c r="E1557" t="s">
        <v>445</v>
      </c>
      <c r="F1557" t="s">
        <v>24</v>
      </c>
      <c r="G1557" t="s">
        <v>24</v>
      </c>
      <c r="H1557">
        <f>731*(1.01^10)</f>
        <v>807.47877367559067</v>
      </c>
      <c r="I1557">
        <f>2926*(1.01^10)</f>
        <v>3232.1243389531851</v>
      </c>
      <c r="J1557" t="s">
        <v>5349</v>
      </c>
      <c r="K1557">
        <f t="shared" si="24"/>
        <v>6.1802856733706886</v>
      </c>
    </row>
    <row r="1558" spans="1:11" x14ac:dyDescent="0.2">
      <c r="A1558" t="s">
        <v>382</v>
      </c>
      <c r="B1558" t="s">
        <v>1646</v>
      </c>
      <c r="C1558" t="s">
        <v>5350</v>
      </c>
      <c r="D1558" t="s">
        <v>5351</v>
      </c>
      <c r="E1558" t="s">
        <v>1340</v>
      </c>
      <c r="F1558" t="s">
        <v>12</v>
      </c>
      <c r="G1558" t="s">
        <v>24</v>
      </c>
      <c r="H1558">
        <f>1483*(1.01^10)</f>
        <v>1638.1546119848167</v>
      </c>
      <c r="I1558">
        <f>6172*(1.01^10)</f>
        <v>6817.7277580379559</v>
      </c>
      <c r="J1558" t="s">
        <v>5352</v>
      </c>
      <c r="K1558">
        <f t="shared" si="24"/>
        <v>85.334448342839593</v>
      </c>
    </row>
    <row r="1559" spans="1:11" x14ac:dyDescent="0.2">
      <c r="A1559" t="s">
        <v>382</v>
      </c>
      <c r="B1559" t="s">
        <v>1646</v>
      </c>
      <c r="C1559" t="s">
        <v>5353</v>
      </c>
      <c r="D1559" t="s">
        <v>5354</v>
      </c>
      <c r="E1559" t="s">
        <v>427</v>
      </c>
      <c r="F1559" t="s">
        <v>12</v>
      </c>
      <c r="G1559" t="s">
        <v>24</v>
      </c>
      <c r="H1559">
        <f>633*(1.01^10)</f>
        <v>699.22580538529257</v>
      </c>
      <c r="I1559">
        <f>2833*(1.01^10)</f>
        <v>3129.3944812899431</v>
      </c>
      <c r="J1559" t="s">
        <v>5356</v>
      </c>
      <c r="K1559">
        <f t="shared" si="24"/>
        <v>39.983521390770598</v>
      </c>
    </row>
    <row r="1560" spans="1:11" x14ac:dyDescent="0.2">
      <c r="A1560" t="s">
        <v>382</v>
      </c>
      <c r="B1560" t="s">
        <v>1646</v>
      </c>
      <c r="C1560" t="s">
        <v>5357</v>
      </c>
      <c r="D1560" t="s">
        <v>5358</v>
      </c>
      <c r="E1560" t="s">
        <v>1545</v>
      </c>
      <c r="F1560" t="s">
        <v>318</v>
      </c>
      <c r="G1560" t="s">
        <v>12</v>
      </c>
      <c r="H1560">
        <f>3470*(1.01^10)</f>
        <v>3833.0387751768803</v>
      </c>
      <c r="I1560">
        <f>19099*(1.01^10)</f>
        <v>21097.177973228598</v>
      </c>
      <c r="J1560" t="s">
        <v>5359</v>
      </c>
      <c r="K1560">
        <f t="shared" si="24"/>
        <v>132.85443076125944</v>
      </c>
    </row>
    <row r="1561" spans="1:11" x14ac:dyDescent="0.2">
      <c r="A1561" t="s">
        <v>382</v>
      </c>
      <c r="B1561" t="s">
        <v>1646</v>
      </c>
      <c r="C1561" t="s">
        <v>5360</v>
      </c>
      <c r="D1561" t="s">
        <v>5361</v>
      </c>
      <c r="E1561" t="s">
        <v>374</v>
      </c>
      <c r="F1561" t="s">
        <v>24</v>
      </c>
      <c r="G1561" t="s">
        <v>24</v>
      </c>
      <c r="H1561">
        <f>733*(1.01^10)</f>
        <v>809.68801792641307</v>
      </c>
      <c r="I1561">
        <f>2935*(1.01^10)</f>
        <v>3242.0659380818861</v>
      </c>
      <c r="J1561" t="s">
        <v>5362</v>
      </c>
      <c r="K1561">
        <f t="shared" si="24"/>
        <v>123.65583343705401</v>
      </c>
    </row>
    <row r="1562" spans="1:11" x14ac:dyDescent="0.2">
      <c r="A1562" t="s">
        <v>382</v>
      </c>
      <c r="B1562" t="s">
        <v>1646</v>
      </c>
      <c r="C1562" t="s">
        <v>5363</v>
      </c>
      <c r="D1562" t="s">
        <v>5364</v>
      </c>
      <c r="E1562" t="s">
        <v>152</v>
      </c>
      <c r="F1562" t="s">
        <v>24</v>
      </c>
      <c r="G1562" t="s">
        <v>24</v>
      </c>
      <c r="H1562">
        <f>996*(1.01^10)</f>
        <v>1100.2036369095599</v>
      </c>
      <c r="I1562">
        <f>5480*(1.01^10)</f>
        <v>6053.3292472534022</v>
      </c>
      <c r="J1562" t="s">
        <v>5365</v>
      </c>
      <c r="K1562">
        <f t="shared" si="24"/>
        <v>31.642430187176512</v>
      </c>
    </row>
    <row r="1563" spans="1:11" x14ac:dyDescent="0.2">
      <c r="A1563" t="s">
        <v>382</v>
      </c>
      <c r="B1563" t="s">
        <v>1646</v>
      </c>
      <c r="C1563" t="s">
        <v>5366</v>
      </c>
      <c r="D1563" t="s">
        <v>5367</v>
      </c>
      <c r="E1563" t="s">
        <v>77</v>
      </c>
      <c r="F1563" t="s">
        <v>24</v>
      </c>
      <c r="G1563" t="s">
        <v>24</v>
      </c>
      <c r="H1563">
        <f>733*(1.01^10)</f>
        <v>809.68801792641307</v>
      </c>
      <c r="I1563">
        <f>4029*(1.01^10)</f>
        <v>4450.5225432817442</v>
      </c>
      <c r="J1563" t="s">
        <v>5368</v>
      </c>
      <c r="K1563">
        <f t="shared" si="24"/>
        <v>56.363931104346882</v>
      </c>
    </row>
    <row r="1564" spans="1:11" x14ac:dyDescent="0.2">
      <c r="A1564" t="s">
        <v>382</v>
      </c>
      <c r="B1564" t="s">
        <v>1646</v>
      </c>
      <c r="C1564" t="s">
        <v>5369</v>
      </c>
      <c r="D1564" t="s">
        <v>5370</v>
      </c>
      <c r="E1564" t="s">
        <v>6</v>
      </c>
      <c r="F1564" t="s">
        <v>24</v>
      </c>
      <c r="G1564" t="s">
        <v>24</v>
      </c>
      <c r="H1564">
        <f>697*(1.01^10)</f>
        <v>769.92162141160975</v>
      </c>
      <c r="I1564">
        <f>3655*(1.01^10)</f>
        <v>4037.3938683779534</v>
      </c>
      <c r="J1564" t="s">
        <v>5371</v>
      </c>
      <c r="K1564">
        <f t="shared" si="24"/>
        <v>38.957806714875211</v>
      </c>
    </row>
    <row r="1565" spans="1:11" x14ac:dyDescent="0.2">
      <c r="A1565" t="s">
        <v>382</v>
      </c>
      <c r="B1565" t="s">
        <v>1646</v>
      </c>
      <c r="C1565" t="s">
        <v>5372</v>
      </c>
      <c r="D1565" t="s">
        <v>5373</v>
      </c>
      <c r="E1565" t="s">
        <v>318</v>
      </c>
      <c r="F1565" t="s">
        <v>24</v>
      </c>
      <c r="G1565" t="s">
        <v>24</v>
      </c>
      <c r="H1565">
        <f>289*(1.01^10)</f>
        <v>319.2357942438382</v>
      </c>
      <c r="I1565">
        <f>1256*(1.01^10)</f>
        <v>1387.4053895164732</v>
      </c>
      <c r="J1565" t="s">
        <v>5375</v>
      </c>
      <c r="K1565">
        <f t="shared" si="24"/>
        <v>22.810903268756945</v>
      </c>
    </row>
    <row r="1566" spans="1:11" x14ac:dyDescent="0.2">
      <c r="A1566" t="s">
        <v>382</v>
      </c>
      <c r="B1566" t="s">
        <v>1646</v>
      </c>
      <c r="C1566" t="s">
        <v>5376</v>
      </c>
      <c r="D1566" t="s">
        <v>5377</v>
      </c>
      <c r="E1566" t="s">
        <v>92</v>
      </c>
      <c r="F1566" t="s">
        <v>12</v>
      </c>
      <c r="G1566" t="s">
        <v>24</v>
      </c>
      <c r="H1566">
        <f>297*(1.01^10)</f>
        <v>328.07277124712783</v>
      </c>
      <c r="I1566">
        <f>1592*(1.01^10)</f>
        <v>1758.5584236546379</v>
      </c>
      <c r="J1566" t="s">
        <v>5379</v>
      </c>
      <c r="K1566">
        <f t="shared" si="24"/>
        <v>2.0187187648406968</v>
      </c>
    </row>
    <row r="1567" spans="1:11" x14ac:dyDescent="0.2">
      <c r="A1567" t="s">
        <v>382</v>
      </c>
      <c r="B1567" t="s">
        <v>5380</v>
      </c>
      <c r="C1567" t="s">
        <v>5381</v>
      </c>
      <c r="D1567" t="s">
        <v>5382</v>
      </c>
      <c r="E1567" t="s">
        <v>1195</v>
      </c>
      <c r="F1567" t="s">
        <v>6</v>
      </c>
      <c r="G1567" t="s">
        <v>12</v>
      </c>
      <c r="H1567">
        <f>4144*(1.01^10)</f>
        <v>4577.5540877040321</v>
      </c>
      <c r="I1567">
        <f>18401*(1.01^10)</f>
        <v>20326.151729691577</v>
      </c>
      <c r="J1567" t="s">
        <v>5383</v>
      </c>
      <c r="K1567">
        <f t="shared" si="24"/>
        <v>11.169956480142806</v>
      </c>
    </row>
    <row r="1568" spans="1:11" x14ac:dyDescent="0.2">
      <c r="A1568" t="s">
        <v>382</v>
      </c>
      <c r="B1568" t="s">
        <v>5380</v>
      </c>
      <c r="C1568" t="s">
        <v>5384</v>
      </c>
      <c r="D1568" t="s">
        <v>5385</v>
      </c>
      <c r="E1568" t="s">
        <v>108</v>
      </c>
      <c r="F1568" t="s">
        <v>12</v>
      </c>
      <c r="G1568" t="s">
        <v>24</v>
      </c>
      <c r="H1568">
        <f>309*(1.01^10)</f>
        <v>341.32823675206225</v>
      </c>
      <c r="I1568">
        <f>1334*(1.01^10)</f>
        <v>1473.5659152985472</v>
      </c>
      <c r="J1568" t="s">
        <v>5386</v>
      </c>
      <c r="K1568">
        <f t="shared" si="24"/>
        <v>8.185739410724592</v>
      </c>
    </row>
    <row r="1569" spans="1:11" x14ac:dyDescent="0.2">
      <c r="A1569" t="s">
        <v>382</v>
      </c>
      <c r="B1569" t="s">
        <v>5380</v>
      </c>
      <c r="C1569" t="s">
        <v>5387</v>
      </c>
      <c r="D1569" t="s">
        <v>5388</v>
      </c>
      <c r="E1569" t="s">
        <v>520</v>
      </c>
      <c r="F1569" t="s">
        <v>24</v>
      </c>
      <c r="G1569" t="s">
        <v>24</v>
      </c>
      <c r="H1569">
        <f>1394*(1.01^10)</f>
        <v>1539.8432428232195</v>
      </c>
      <c r="I1569">
        <f>7403*(1.01^10)</f>
        <v>8177.5175944191487</v>
      </c>
      <c r="J1569" t="s">
        <v>5389</v>
      </c>
      <c r="K1569">
        <f t="shared" si="24"/>
        <v>5.4190503358363618</v>
      </c>
    </row>
    <row r="1570" spans="1:11" x14ac:dyDescent="0.2">
      <c r="A1570" t="s">
        <v>382</v>
      </c>
      <c r="B1570" t="s">
        <v>5380</v>
      </c>
      <c r="C1570" t="s">
        <v>5390</v>
      </c>
      <c r="D1570" t="s">
        <v>5391</v>
      </c>
      <c r="E1570" t="s">
        <v>17</v>
      </c>
      <c r="F1570" t="s">
        <v>24</v>
      </c>
      <c r="G1570" t="s">
        <v>12</v>
      </c>
      <c r="H1570">
        <f>2509*(1.01^10)</f>
        <v>2771.4969126567125</v>
      </c>
      <c r="I1570">
        <f>9792*(1.01^10)</f>
        <v>10816.459852026517</v>
      </c>
      <c r="J1570" t="s">
        <v>5392</v>
      </c>
      <c r="K1570">
        <f t="shared" si="24"/>
        <v>361.71347271697573</v>
      </c>
    </row>
    <row r="1571" spans="1:11" x14ac:dyDescent="0.2">
      <c r="A1571" t="s">
        <v>382</v>
      </c>
      <c r="B1571" t="s">
        <v>5380</v>
      </c>
      <c r="C1571" t="s">
        <v>5393</v>
      </c>
      <c r="D1571" t="s">
        <v>5394</v>
      </c>
      <c r="E1571" t="s">
        <v>726</v>
      </c>
      <c r="F1571" t="s">
        <v>24</v>
      </c>
      <c r="G1571" t="s">
        <v>24</v>
      </c>
      <c r="H1571">
        <f>1529*(1.01^10)</f>
        <v>1688.967229753732</v>
      </c>
      <c r="I1571">
        <f>6622*(1.01^10)</f>
        <v>7314.8077144729978</v>
      </c>
      <c r="J1571" t="s">
        <v>5395</v>
      </c>
      <c r="K1571">
        <f t="shared" si="24"/>
        <v>9.4434911117636897</v>
      </c>
    </row>
    <row r="1572" spans="1:11" x14ac:dyDescent="0.2">
      <c r="A1572" t="s">
        <v>382</v>
      </c>
      <c r="B1572" t="s">
        <v>5380</v>
      </c>
      <c r="C1572" t="s">
        <v>5396</v>
      </c>
      <c r="D1572" t="s">
        <v>5397</v>
      </c>
      <c r="E1572" t="s">
        <v>6</v>
      </c>
      <c r="F1572" t="s">
        <v>11</v>
      </c>
      <c r="G1572" t="s">
        <v>24</v>
      </c>
      <c r="H1572">
        <f>771*(1.01^10)</f>
        <v>851.66365869203889</v>
      </c>
      <c r="I1572">
        <f>3077*(1.01^10)</f>
        <v>3398.922279890277</v>
      </c>
      <c r="J1572" t="s">
        <v>5398</v>
      </c>
      <c r="K1572">
        <f t="shared" si="24"/>
        <v>8.519954819027113</v>
      </c>
    </row>
    <row r="1573" spans="1:11" x14ac:dyDescent="0.2">
      <c r="A1573" t="s">
        <v>382</v>
      </c>
      <c r="B1573" t="s">
        <v>5380</v>
      </c>
      <c r="C1573" t="s">
        <v>5399</v>
      </c>
      <c r="D1573" t="s">
        <v>5400</v>
      </c>
      <c r="E1573" t="s">
        <v>422</v>
      </c>
      <c r="F1573" t="s">
        <v>24</v>
      </c>
      <c r="G1573" t="s">
        <v>12</v>
      </c>
      <c r="H1573">
        <f>1615*(1.01^10)</f>
        <v>1783.9647325390956</v>
      </c>
      <c r="I1573">
        <f>6749*(1.01^10)</f>
        <v>7455.0947244002209</v>
      </c>
      <c r="J1573" t="s">
        <v>5401</v>
      </c>
      <c r="K1573">
        <f t="shared" si="24"/>
        <v>22.319445928716775</v>
      </c>
    </row>
    <row r="1574" spans="1:11" x14ac:dyDescent="0.2">
      <c r="A1574" t="s">
        <v>382</v>
      </c>
      <c r="B1574" t="s">
        <v>5380</v>
      </c>
      <c r="C1574" t="s">
        <v>5402</v>
      </c>
      <c r="D1574" t="s">
        <v>5403</v>
      </c>
      <c r="E1574" t="s">
        <v>1656</v>
      </c>
      <c r="F1574" t="s">
        <v>12</v>
      </c>
      <c r="G1574" t="s">
        <v>24</v>
      </c>
      <c r="H1574">
        <f>2815*(1.01^10)</f>
        <v>3109.5112830325415</v>
      </c>
      <c r="I1574">
        <f>14534*(1.01^10)</f>
        <v>16054.57797072645</v>
      </c>
      <c r="J1574" t="s">
        <v>5404</v>
      </c>
      <c r="K1574">
        <f t="shared" si="24"/>
        <v>26.398334714836423</v>
      </c>
    </row>
    <row r="1575" spans="1:11" x14ac:dyDescent="0.2">
      <c r="A1575" t="s">
        <v>382</v>
      </c>
      <c r="B1575" t="s">
        <v>5380</v>
      </c>
      <c r="C1575" t="s">
        <v>5405</v>
      </c>
      <c r="D1575" t="s">
        <v>5406</v>
      </c>
      <c r="E1575" t="s">
        <v>458</v>
      </c>
      <c r="F1575" t="s">
        <v>24</v>
      </c>
      <c r="G1575" t="s">
        <v>24</v>
      </c>
      <c r="H1575">
        <f>805*(1.01^10)</f>
        <v>889.22081095601982</v>
      </c>
      <c r="I1575">
        <f>4998*(1.01^10)</f>
        <v>5520.9013828052011</v>
      </c>
      <c r="J1575" t="s">
        <v>5407</v>
      </c>
      <c r="K1575">
        <f t="shared" si="24"/>
        <v>15.814539085352925</v>
      </c>
    </row>
    <row r="1576" spans="1:11" x14ac:dyDescent="0.2">
      <c r="A1576" t="s">
        <v>382</v>
      </c>
      <c r="B1576" t="s">
        <v>5380</v>
      </c>
      <c r="C1576" t="s">
        <v>5408</v>
      </c>
      <c r="D1576" t="s">
        <v>5409</v>
      </c>
      <c r="E1576" t="s">
        <v>422</v>
      </c>
      <c r="F1576" t="s">
        <v>12</v>
      </c>
      <c r="G1576" t="s">
        <v>24</v>
      </c>
      <c r="H1576">
        <f>837*(1.01^10)</f>
        <v>924.56871896917835</v>
      </c>
      <c r="I1576">
        <f>4863*(1.01^10)</f>
        <v>5371.7773958746884</v>
      </c>
      <c r="J1576" t="s">
        <v>5410</v>
      </c>
      <c r="K1576">
        <f t="shared" si="24"/>
        <v>11.404146090841028</v>
      </c>
    </row>
    <row r="1577" spans="1:11" x14ac:dyDescent="0.2">
      <c r="A1577" t="s">
        <v>382</v>
      </c>
      <c r="B1577" t="s">
        <v>5380</v>
      </c>
      <c r="C1577" t="s">
        <v>5411</v>
      </c>
      <c r="D1577" t="s">
        <v>5412</v>
      </c>
      <c r="E1577" t="s">
        <v>6</v>
      </c>
      <c r="F1577" t="s">
        <v>24</v>
      </c>
      <c r="G1577" t="s">
        <v>24</v>
      </c>
      <c r="H1577">
        <f>1129*(1.01^10)</f>
        <v>1247.1183795892503</v>
      </c>
      <c r="I1577">
        <f>5042*(1.01^10)</f>
        <v>5569.5047563232947</v>
      </c>
      <c r="J1577" t="s">
        <v>5413</v>
      </c>
      <c r="K1577">
        <f t="shared" si="24"/>
        <v>12.467657238405494</v>
      </c>
    </row>
    <row r="1578" spans="1:11" x14ac:dyDescent="0.2">
      <c r="A1578" t="s">
        <v>382</v>
      </c>
      <c r="B1578" t="s">
        <v>5380</v>
      </c>
      <c r="C1578" t="s">
        <v>5414</v>
      </c>
      <c r="D1578" t="s">
        <v>5415</v>
      </c>
      <c r="E1578" t="s">
        <v>11</v>
      </c>
      <c r="F1578" t="s">
        <v>92</v>
      </c>
      <c r="G1578" t="s">
        <v>24</v>
      </c>
      <c r="H1578">
        <f>82*(1.01^10)</f>
        <v>90.579014283718791</v>
      </c>
      <c r="I1578">
        <f>316*(1.01^10)</f>
        <v>349.06059162994069</v>
      </c>
      <c r="J1578" t="s">
        <v>5416</v>
      </c>
      <c r="K1578">
        <f t="shared" si="24"/>
        <v>1.9548873459224574</v>
      </c>
    </row>
    <row r="1579" spans="1:11" x14ac:dyDescent="0.2">
      <c r="A1579" t="s">
        <v>382</v>
      </c>
      <c r="B1579" t="s">
        <v>5380</v>
      </c>
      <c r="C1579" t="s">
        <v>5417</v>
      </c>
      <c r="D1579" t="s">
        <v>5418</v>
      </c>
      <c r="E1579" t="s">
        <v>152</v>
      </c>
      <c r="F1579" t="s">
        <v>92</v>
      </c>
      <c r="G1579" t="s">
        <v>24</v>
      </c>
      <c r="H1579">
        <f>220*(1.01^10)</f>
        <v>243.01686759046504</v>
      </c>
      <c r="I1579">
        <f>816*(1.01^10)</f>
        <v>901.3716543355431</v>
      </c>
      <c r="J1579" t="s">
        <v>5419</v>
      </c>
      <c r="K1579">
        <f t="shared" si="24"/>
        <v>2.797464442894984</v>
      </c>
    </row>
    <row r="1580" spans="1:11" x14ac:dyDescent="0.2">
      <c r="A1580" t="s">
        <v>382</v>
      </c>
      <c r="B1580" t="s">
        <v>718</v>
      </c>
      <c r="C1580" t="s">
        <v>5420</v>
      </c>
      <c r="D1580" t="s">
        <v>5421</v>
      </c>
      <c r="E1580" t="s">
        <v>356</v>
      </c>
      <c r="F1580" t="s">
        <v>11</v>
      </c>
      <c r="G1580" t="s">
        <v>24</v>
      </c>
      <c r="H1580">
        <f>812*(1.01^10)</f>
        <v>896.95316583389831</v>
      </c>
      <c r="I1580">
        <f>3958*(1.01^10)</f>
        <v>4372.0943723775481</v>
      </c>
      <c r="J1580" t="s">
        <v>5423</v>
      </c>
      <c r="K1580">
        <f t="shared" si="24"/>
        <v>7.8269534893618697</v>
      </c>
    </row>
    <row r="1581" spans="1:11" x14ac:dyDescent="0.2">
      <c r="A1581" t="s">
        <v>382</v>
      </c>
      <c r="B1581" t="s">
        <v>718</v>
      </c>
      <c r="C1581" t="s">
        <v>5424</v>
      </c>
      <c r="D1581" t="s">
        <v>5425</v>
      </c>
      <c r="E1581" t="s">
        <v>274</v>
      </c>
      <c r="F1581" t="s">
        <v>24</v>
      </c>
      <c r="G1581" t="s">
        <v>24</v>
      </c>
      <c r="H1581">
        <f>266*(1.01^10)</f>
        <v>293.82948535938044</v>
      </c>
      <c r="I1581">
        <f>1561*(1.01^10)</f>
        <v>1724.3151377668905</v>
      </c>
      <c r="J1581" t="s">
        <v>5426</v>
      </c>
      <c r="K1581">
        <f t="shared" si="24"/>
        <v>10.640341595049197</v>
      </c>
    </row>
    <row r="1582" spans="1:11" x14ac:dyDescent="0.2">
      <c r="A1582" t="s">
        <v>382</v>
      </c>
      <c r="B1582" t="s">
        <v>718</v>
      </c>
      <c r="C1582" t="s">
        <v>5427</v>
      </c>
      <c r="D1582" t="s">
        <v>5428</v>
      </c>
      <c r="E1582" t="s">
        <v>1340</v>
      </c>
      <c r="F1582" t="s">
        <v>11</v>
      </c>
      <c r="G1582" t="s">
        <v>24</v>
      </c>
      <c r="H1582">
        <f>601*(1.01^10)</f>
        <v>663.87789737213404</v>
      </c>
      <c r="I1582">
        <f>3609*(1.01^10)</f>
        <v>3986.5812506090379</v>
      </c>
      <c r="J1582" t="s">
        <v>5429</v>
      </c>
      <c r="K1582">
        <f t="shared" si="24"/>
        <v>12.576192441636678</v>
      </c>
    </row>
    <row r="1583" spans="1:11" x14ac:dyDescent="0.2">
      <c r="A1583" t="s">
        <v>382</v>
      </c>
      <c r="B1583" t="s">
        <v>718</v>
      </c>
      <c r="C1583" t="s">
        <v>5430</v>
      </c>
      <c r="D1583" t="s">
        <v>5431</v>
      </c>
      <c r="E1583" t="s">
        <v>220</v>
      </c>
      <c r="F1583" t="s">
        <v>12</v>
      </c>
      <c r="G1583" t="s">
        <v>24</v>
      </c>
      <c r="H1583">
        <f>1029*(1.01^10)</f>
        <v>1136.6561670481296</v>
      </c>
      <c r="I1583">
        <f>6230*(1.01^10)</f>
        <v>6881.7958413118058</v>
      </c>
      <c r="J1583" t="s">
        <v>5432</v>
      </c>
      <c r="K1583">
        <f t="shared" si="24"/>
        <v>31.055739739697561</v>
      </c>
    </row>
    <row r="1584" spans="1:11" x14ac:dyDescent="0.2">
      <c r="A1584" t="s">
        <v>382</v>
      </c>
      <c r="B1584" t="s">
        <v>718</v>
      </c>
      <c r="C1584" t="s">
        <v>5433</v>
      </c>
      <c r="D1584" t="s">
        <v>5434</v>
      </c>
      <c r="E1584" t="s">
        <v>77</v>
      </c>
      <c r="F1584" t="s">
        <v>11</v>
      </c>
      <c r="G1584" t="s">
        <v>24</v>
      </c>
      <c r="H1584">
        <f>663*(1.01^10)</f>
        <v>732.36446914762871</v>
      </c>
      <c r="I1584">
        <f>3636*(1.01^10)</f>
        <v>4016.4060479951404</v>
      </c>
      <c r="J1584" t="s">
        <v>5435</v>
      </c>
      <c r="K1584">
        <f t="shared" si="24"/>
        <v>25.192047977490809</v>
      </c>
    </row>
    <row r="1585" spans="1:11" x14ac:dyDescent="0.2">
      <c r="A1585" t="s">
        <v>382</v>
      </c>
      <c r="B1585" t="s">
        <v>718</v>
      </c>
      <c r="C1585" t="s">
        <v>5436</v>
      </c>
      <c r="D1585" t="s">
        <v>5437</v>
      </c>
      <c r="E1585" t="s">
        <v>91</v>
      </c>
      <c r="F1585" t="s">
        <v>11</v>
      </c>
      <c r="G1585" t="s">
        <v>12</v>
      </c>
      <c r="H1585">
        <f>5443*(1.01^10)</f>
        <v>6012.4582286131872</v>
      </c>
      <c r="I1585">
        <f>29214*(1.01^10)</f>
        <v>32270.430771762934</v>
      </c>
      <c r="J1585" t="s">
        <v>5438</v>
      </c>
      <c r="K1585">
        <f t="shared" si="24"/>
        <v>62.904717856964631</v>
      </c>
    </row>
    <row r="1586" spans="1:11" x14ac:dyDescent="0.2">
      <c r="A1586" t="s">
        <v>382</v>
      </c>
      <c r="B1586" t="s">
        <v>718</v>
      </c>
      <c r="C1586" t="s">
        <v>5439</v>
      </c>
      <c r="D1586" t="s">
        <v>5440</v>
      </c>
      <c r="E1586" t="s">
        <v>77</v>
      </c>
      <c r="F1586" t="s">
        <v>17</v>
      </c>
      <c r="G1586" t="s">
        <v>24</v>
      </c>
      <c r="H1586">
        <f>502*(1.01^10)</f>
        <v>554.52030695642475</v>
      </c>
      <c r="I1586">
        <f>3189*(1.01^10)</f>
        <v>3522.6399579363319</v>
      </c>
      <c r="J1586" t="s">
        <v>5441</v>
      </c>
      <c r="K1586">
        <f t="shared" si="24"/>
        <v>8.941202275138993</v>
      </c>
    </row>
    <row r="1587" spans="1:11" x14ac:dyDescent="0.2">
      <c r="A1587" t="s">
        <v>382</v>
      </c>
      <c r="B1587" t="s">
        <v>718</v>
      </c>
      <c r="C1587" t="s">
        <v>5442</v>
      </c>
      <c r="D1587" t="s">
        <v>5443</v>
      </c>
      <c r="E1587" t="s">
        <v>1506</v>
      </c>
      <c r="F1587" t="s">
        <v>11</v>
      </c>
      <c r="G1587" t="s">
        <v>24</v>
      </c>
      <c r="H1587">
        <f>1178*(1.01^10)</f>
        <v>1301.2448637343991</v>
      </c>
      <c r="I1587">
        <f>5549*(1.01^10)</f>
        <v>6129.5481739067754</v>
      </c>
      <c r="J1587" t="s">
        <v>5444</v>
      </c>
      <c r="K1587">
        <f t="shared" si="24"/>
        <v>29.612508529239744</v>
      </c>
    </row>
    <row r="1588" spans="1:11" x14ac:dyDescent="0.2">
      <c r="A1588" t="s">
        <v>382</v>
      </c>
      <c r="B1588" t="s">
        <v>718</v>
      </c>
      <c r="C1588" t="s">
        <v>5445</v>
      </c>
      <c r="D1588" t="s">
        <v>5446</v>
      </c>
      <c r="E1588" t="s">
        <v>220</v>
      </c>
      <c r="F1588" t="s">
        <v>92</v>
      </c>
      <c r="G1588" t="s">
        <v>24</v>
      </c>
      <c r="H1588">
        <f>780*(1.01^10)</f>
        <v>861.60525782073967</v>
      </c>
      <c r="I1588">
        <f>3852*(1.01^10)</f>
        <v>4255.0044270839608</v>
      </c>
      <c r="J1588" t="s">
        <v>5447</v>
      </c>
      <c r="K1588">
        <f t="shared" si="24"/>
        <v>24.56138923478952</v>
      </c>
    </row>
    <row r="1589" spans="1:11" x14ac:dyDescent="0.2">
      <c r="A1589" t="s">
        <v>382</v>
      </c>
      <c r="B1589" t="s">
        <v>718</v>
      </c>
      <c r="C1589" t="s">
        <v>5448</v>
      </c>
      <c r="D1589" t="s">
        <v>5449</v>
      </c>
      <c r="E1589" t="s">
        <v>411</v>
      </c>
      <c r="F1589" t="s">
        <v>24</v>
      </c>
      <c r="G1589" t="s">
        <v>24</v>
      </c>
      <c r="H1589">
        <f>468*(1.01^10)</f>
        <v>516.96315469244382</v>
      </c>
      <c r="I1589">
        <f>2469*(1.01^10)</f>
        <v>2727.3120276402647</v>
      </c>
      <c r="J1589" t="s">
        <v>5450</v>
      </c>
      <c r="K1589">
        <f t="shared" si="24"/>
        <v>16.419254915803187</v>
      </c>
    </row>
    <row r="1590" spans="1:11" x14ac:dyDescent="0.2">
      <c r="A1590" t="s">
        <v>382</v>
      </c>
      <c r="B1590" t="s">
        <v>718</v>
      </c>
      <c r="C1590" t="s">
        <v>5451</v>
      </c>
      <c r="D1590" t="s">
        <v>5452</v>
      </c>
      <c r="E1590" t="s">
        <v>726</v>
      </c>
      <c r="F1590" t="s">
        <v>17</v>
      </c>
      <c r="G1590" t="s">
        <v>24</v>
      </c>
      <c r="H1590">
        <f>766*(1.01^10)</f>
        <v>846.1405480649828</v>
      </c>
      <c r="I1590">
        <f>4230*(1.01^10)</f>
        <v>4672.5515904893964</v>
      </c>
      <c r="J1590" t="s">
        <v>5453</v>
      </c>
      <c r="K1590">
        <f t="shared" si="24"/>
        <v>30.49152832616894</v>
      </c>
    </row>
    <row r="1591" spans="1:11" x14ac:dyDescent="0.2">
      <c r="A1591" t="s">
        <v>382</v>
      </c>
      <c r="B1591" t="s">
        <v>718</v>
      </c>
      <c r="C1591" t="s">
        <v>5454</v>
      </c>
      <c r="D1591" t="s">
        <v>5455</v>
      </c>
      <c r="E1591" t="s">
        <v>1506</v>
      </c>
      <c r="F1591" t="s">
        <v>24</v>
      </c>
      <c r="G1591" t="s">
        <v>24</v>
      </c>
      <c r="H1591">
        <f>1206*(1.01^10)</f>
        <v>1332.1742832459129</v>
      </c>
      <c r="I1591">
        <f>6937*(1.01^10)</f>
        <v>7662.7636839775278</v>
      </c>
      <c r="J1591" t="s">
        <v>5457</v>
      </c>
      <c r="K1591">
        <f t="shared" si="24"/>
        <v>38.872597998658151</v>
      </c>
    </row>
    <row r="1592" spans="1:11" x14ac:dyDescent="0.2">
      <c r="A1592" t="s">
        <v>382</v>
      </c>
      <c r="B1592" t="s">
        <v>718</v>
      </c>
      <c r="C1592" t="s">
        <v>5458</v>
      </c>
      <c r="D1592" t="s">
        <v>5459</v>
      </c>
      <c r="E1592" t="s">
        <v>374</v>
      </c>
      <c r="F1592" t="s">
        <v>12</v>
      </c>
      <c r="G1592" t="s">
        <v>24</v>
      </c>
      <c r="H1592">
        <f>794*(1.01^10)</f>
        <v>877.06996757649654</v>
      </c>
      <c r="I1592">
        <f>4256*(1.01^10)</f>
        <v>4701.2717657500871</v>
      </c>
      <c r="J1592" t="s">
        <v>5460</v>
      </c>
      <c r="K1592">
        <f t="shared" si="24"/>
        <v>5.1569114559892126</v>
      </c>
    </row>
    <row r="1593" spans="1:11" x14ac:dyDescent="0.2">
      <c r="A1593" t="s">
        <v>382</v>
      </c>
      <c r="B1593" t="s">
        <v>1298</v>
      </c>
      <c r="C1593" t="s">
        <v>5461</v>
      </c>
      <c r="D1593" t="s">
        <v>5462</v>
      </c>
      <c r="E1593" t="s">
        <v>427</v>
      </c>
      <c r="F1593" t="s">
        <v>11</v>
      </c>
      <c r="G1593" t="s">
        <v>24</v>
      </c>
      <c r="H1593">
        <f>1106*(1.01^10)</f>
        <v>1221.7120707047925</v>
      </c>
      <c r="I1593">
        <f>6679*(1.01^10)</f>
        <v>7377.7711756214367</v>
      </c>
      <c r="J1593" t="s">
        <v>5463</v>
      </c>
      <c r="K1593">
        <f t="shared" si="24"/>
        <v>38.905849805842273</v>
      </c>
    </row>
    <row r="1594" spans="1:11" x14ac:dyDescent="0.2">
      <c r="A1594" t="s">
        <v>382</v>
      </c>
      <c r="B1594" t="s">
        <v>1298</v>
      </c>
      <c r="C1594" t="s">
        <v>5464</v>
      </c>
      <c r="D1594" t="s">
        <v>5465</v>
      </c>
      <c r="E1594" t="s">
        <v>180</v>
      </c>
      <c r="F1594" t="s">
        <v>17</v>
      </c>
      <c r="G1594" t="s">
        <v>24</v>
      </c>
      <c r="H1594">
        <f>1625*(1.01^10)</f>
        <v>1795.0109537932078</v>
      </c>
      <c r="I1594">
        <f>8523*(1.01^10)</f>
        <v>9414.6943748796984</v>
      </c>
      <c r="J1594" t="s">
        <v>5466</v>
      </c>
      <c r="K1594">
        <f t="shared" si="24"/>
        <v>64.503778292690313</v>
      </c>
    </row>
    <row r="1595" spans="1:11" x14ac:dyDescent="0.2">
      <c r="A1595" t="s">
        <v>382</v>
      </c>
      <c r="B1595" t="s">
        <v>1298</v>
      </c>
      <c r="C1595" t="s">
        <v>5467</v>
      </c>
      <c r="D1595" t="s">
        <v>5468</v>
      </c>
      <c r="E1595" t="s">
        <v>789</v>
      </c>
      <c r="F1595" t="s">
        <v>11</v>
      </c>
      <c r="G1595" t="s">
        <v>24</v>
      </c>
      <c r="H1595">
        <f>554*(1.01^10)</f>
        <v>611.96065747780744</v>
      </c>
      <c r="I1595">
        <f>4053*(1.01^10)</f>
        <v>4477.0334742916129</v>
      </c>
      <c r="J1595" t="s">
        <v>5470</v>
      </c>
      <c r="K1595">
        <f t="shared" si="24"/>
        <v>10.941694413292424</v>
      </c>
    </row>
    <row r="1596" spans="1:11" x14ac:dyDescent="0.2">
      <c r="A1596" t="s">
        <v>382</v>
      </c>
      <c r="B1596" t="s">
        <v>1298</v>
      </c>
      <c r="C1596" t="s">
        <v>5471</v>
      </c>
      <c r="D1596" t="s">
        <v>5472</v>
      </c>
      <c r="E1596" t="s">
        <v>56</v>
      </c>
      <c r="F1596" t="s">
        <v>24</v>
      </c>
      <c r="G1596" t="s">
        <v>24</v>
      </c>
      <c r="H1596">
        <f>442*(1.01^10)</f>
        <v>488.24297943175247</v>
      </c>
      <c r="I1596">
        <f>2507*(1.01^10)</f>
        <v>2769.2876684058901</v>
      </c>
      <c r="J1596" t="s">
        <v>5473</v>
      </c>
      <c r="K1596">
        <f t="shared" si="24"/>
        <v>66.851463474116287</v>
      </c>
    </row>
    <row r="1597" spans="1:11" x14ac:dyDescent="0.2">
      <c r="A1597" t="s">
        <v>382</v>
      </c>
      <c r="B1597" t="s">
        <v>1298</v>
      </c>
      <c r="C1597" t="s">
        <v>5474</v>
      </c>
      <c r="D1597" t="s">
        <v>5475</v>
      </c>
      <c r="E1597" t="s">
        <v>1340</v>
      </c>
      <c r="F1597" t="s">
        <v>12</v>
      </c>
      <c r="G1597" t="s">
        <v>12</v>
      </c>
      <c r="H1597">
        <f>14489*(1.01^10)</f>
        <v>16004.869975082946</v>
      </c>
      <c r="I1597">
        <f>65301*(1.01^10)</f>
        <v>72132.929411477075</v>
      </c>
      <c r="J1597" t="s">
        <v>5476</v>
      </c>
      <c r="K1597">
        <f t="shared" si="24"/>
        <v>431.70594812802563</v>
      </c>
    </row>
    <row r="1598" spans="1:11" x14ac:dyDescent="0.2">
      <c r="A1598" t="s">
        <v>382</v>
      </c>
      <c r="B1598" t="s">
        <v>1298</v>
      </c>
      <c r="C1598" t="s">
        <v>5477</v>
      </c>
      <c r="D1598" t="s">
        <v>5478</v>
      </c>
      <c r="E1598" t="s">
        <v>103</v>
      </c>
      <c r="F1598" t="s">
        <v>11</v>
      </c>
      <c r="G1598" t="s">
        <v>12</v>
      </c>
      <c r="H1598">
        <f>10344*(1.01^10)</f>
        <v>11426.211265253502</v>
      </c>
      <c r="I1598">
        <f>49106*(1.01^10)</f>
        <v>54243.57409044262</v>
      </c>
      <c r="J1598" t="s">
        <v>5479</v>
      </c>
      <c r="K1598">
        <f t="shared" si="24"/>
        <v>353.8377635854327</v>
      </c>
    </row>
    <row r="1599" spans="1:11" x14ac:dyDescent="0.2">
      <c r="A1599" t="s">
        <v>382</v>
      </c>
      <c r="B1599" t="s">
        <v>1298</v>
      </c>
      <c r="C1599" t="s">
        <v>5480</v>
      </c>
      <c r="D1599" t="s">
        <v>5481</v>
      </c>
      <c r="E1599" t="s">
        <v>77</v>
      </c>
      <c r="F1599" t="s">
        <v>24</v>
      </c>
      <c r="G1599" t="s">
        <v>24</v>
      </c>
      <c r="H1599">
        <f>1845*(1.01^10)</f>
        <v>2038.0278213836727</v>
      </c>
      <c r="I1599">
        <f>9479*(1.01^10)</f>
        <v>10470.713126772809</v>
      </c>
      <c r="J1599" t="s">
        <v>5482</v>
      </c>
      <c r="K1599">
        <f t="shared" si="24"/>
        <v>113.78756365732623</v>
      </c>
    </row>
    <row r="1600" spans="1:11" x14ac:dyDescent="0.2">
      <c r="A1600" t="s">
        <v>382</v>
      </c>
      <c r="B1600" t="s">
        <v>1298</v>
      </c>
      <c r="C1600" t="s">
        <v>5483</v>
      </c>
      <c r="D1600" t="s">
        <v>5484</v>
      </c>
      <c r="E1600" t="s">
        <v>158</v>
      </c>
      <c r="F1600" t="s">
        <v>24</v>
      </c>
      <c r="G1600" t="s">
        <v>24</v>
      </c>
      <c r="H1600">
        <f>295*(1.01^10)</f>
        <v>325.86352699630538</v>
      </c>
      <c r="I1600">
        <f>1638*(1.01^10)</f>
        <v>1809.3710414235534</v>
      </c>
      <c r="J1600" t="s">
        <v>5485</v>
      </c>
      <c r="K1600">
        <f t="shared" si="24"/>
        <v>43.976137596596985</v>
      </c>
    </row>
    <row r="1601" spans="1:11" x14ac:dyDescent="0.2">
      <c r="A1601" t="s">
        <v>382</v>
      </c>
      <c r="B1601" t="s">
        <v>1298</v>
      </c>
      <c r="C1601" t="s">
        <v>5486</v>
      </c>
      <c r="D1601" t="s">
        <v>5487</v>
      </c>
      <c r="E1601" t="s">
        <v>72</v>
      </c>
      <c r="F1601" t="s">
        <v>158</v>
      </c>
      <c r="G1601" t="s">
        <v>24</v>
      </c>
      <c r="H1601">
        <f>532*(1.01^10)</f>
        <v>587.65897071876088</v>
      </c>
      <c r="I1601">
        <f>3006*(1.01^10)</f>
        <v>3320.4941089860813</v>
      </c>
      <c r="J1601" t="s">
        <v>5488</v>
      </c>
      <c r="K1601">
        <f t="shared" si="24"/>
        <v>12.357912259855462</v>
      </c>
    </row>
    <row r="1602" spans="1:11" x14ac:dyDescent="0.2">
      <c r="A1602" t="s">
        <v>382</v>
      </c>
      <c r="B1602" t="s">
        <v>1298</v>
      </c>
      <c r="C1602" t="s">
        <v>5489</v>
      </c>
      <c r="D1602" t="s">
        <v>5490</v>
      </c>
      <c r="E1602" t="s">
        <v>619</v>
      </c>
      <c r="F1602" t="s">
        <v>152</v>
      </c>
      <c r="G1602" t="s">
        <v>12</v>
      </c>
      <c r="H1602">
        <f>1077*(1.01^10)</f>
        <v>1189.6780290678676</v>
      </c>
      <c r="I1602">
        <f>6049*(1.01^10)</f>
        <v>6681.8592366123776</v>
      </c>
      <c r="J1602" t="s">
        <v>5491</v>
      </c>
      <c r="K1602">
        <f t="shared" si="24"/>
        <v>25.399459928507955</v>
      </c>
    </row>
    <row r="1603" spans="1:11" x14ac:dyDescent="0.2">
      <c r="A1603" t="s">
        <v>382</v>
      </c>
      <c r="B1603" t="s">
        <v>1298</v>
      </c>
      <c r="C1603" t="s">
        <v>5492</v>
      </c>
      <c r="D1603" t="s">
        <v>5493</v>
      </c>
      <c r="E1603" t="s">
        <v>411</v>
      </c>
      <c r="F1603" t="s">
        <v>24</v>
      </c>
      <c r="G1603" t="s">
        <v>24</v>
      </c>
      <c r="H1603">
        <f>276*(1.01^10)</f>
        <v>304.87570661349253</v>
      </c>
      <c r="I1603">
        <f>1655*(1.01^10)</f>
        <v>1828.149617555544</v>
      </c>
      <c r="J1603" t="s">
        <v>5494</v>
      </c>
      <c r="K1603">
        <f t="shared" ref="K1603:K1666" si="25">I1603/J1603</f>
        <v>8.4818767365566323</v>
      </c>
    </row>
    <row r="1604" spans="1:11" x14ac:dyDescent="0.2">
      <c r="A1604" t="s">
        <v>382</v>
      </c>
      <c r="B1604" t="s">
        <v>1298</v>
      </c>
      <c r="C1604" t="s">
        <v>5495</v>
      </c>
      <c r="D1604" t="s">
        <v>5496</v>
      </c>
      <c r="E1604" t="s">
        <v>185</v>
      </c>
      <c r="F1604" t="s">
        <v>12</v>
      </c>
      <c r="G1604" t="s">
        <v>24</v>
      </c>
      <c r="H1604">
        <f>699*(1.01^10)</f>
        <v>772.13086566243214</v>
      </c>
      <c r="I1604">
        <f>4139*(1.01^10)</f>
        <v>4572.0309770769763</v>
      </c>
      <c r="J1604" t="s">
        <v>5497</v>
      </c>
      <c r="K1604">
        <f t="shared" si="25"/>
        <v>16.084834965854629</v>
      </c>
    </row>
    <row r="1605" spans="1:11" x14ac:dyDescent="0.2">
      <c r="A1605" t="s">
        <v>382</v>
      </c>
      <c r="B1605" t="s">
        <v>1298</v>
      </c>
      <c r="C1605" t="s">
        <v>5498</v>
      </c>
      <c r="D1605" t="s">
        <v>5499</v>
      </c>
      <c r="E1605" t="s">
        <v>131</v>
      </c>
      <c r="F1605" t="s">
        <v>24</v>
      </c>
      <c r="G1605" t="s">
        <v>24</v>
      </c>
      <c r="H1605">
        <f>1054*(1.01^10)</f>
        <v>1164.2717201834098</v>
      </c>
      <c r="I1605">
        <f>6055*(1.01^10)</f>
        <v>6688.4869693648443</v>
      </c>
      <c r="J1605" t="s">
        <v>5500</v>
      </c>
      <c r="K1605">
        <f t="shared" si="25"/>
        <v>11.093837511793931</v>
      </c>
    </row>
    <row r="1606" spans="1:11" x14ac:dyDescent="0.2">
      <c r="A1606" t="s">
        <v>382</v>
      </c>
      <c r="B1606" t="s">
        <v>1298</v>
      </c>
      <c r="C1606" t="s">
        <v>5501</v>
      </c>
      <c r="D1606" t="s">
        <v>5502</v>
      </c>
      <c r="E1606" t="s">
        <v>61</v>
      </c>
      <c r="F1606" t="s">
        <v>11</v>
      </c>
      <c r="G1606" t="s">
        <v>24</v>
      </c>
      <c r="H1606">
        <f>1103*(1.01^10)</f>
        <v>1218.3982043285589</v>
      </c>
      <c r="I1606">
        <f>6756*(1.01^10)</f>
        <v>7462.8270792780995</v>
      </c>
      <c r="J1606" t="s">
        <v>5503</v>
      </c>
      <c r="K1606">
        <f t="shared" si="25"/>
        <v>23.261398844933797</v>
      </c>
    </row>
    <row r="1607" spans="1:11" x14ac:dyDescent="0.2">
      <c r="A1607" t="s">
        <v>382</v>
      </c>
      <c r="B1607" t="s">
        <v>1298</v>
      </c>
      <c r="C1607" t="s">
        <v>5504</v>
      </c>
      <c r="D1607" t="s">
        <v>5505</v>
      </c>
      <c r="E1607" t="s">
        <v>744</v>
      </c>
      <c r="F1607" t="s">
        <v>24</v>
      </c>
      <c r="G1607" t="s">
        <v>24</v>
      </c>
      <c r="H1607">
        <f>289*(1.01^10)</f>
        <v>319.2357942438382</v>
      </c>
      <c r="I1607">
        <f>1627*(1.01^10)</f>
        <v>1797.2201980440302</v>
      </c>
      <c r="J1607" t="s">
        <v>5506</v>
      </c>
      <c r="K1607">
        <f t="shared" si="25"/>
        <v>6.7313535307858965</v>
      </c>
    </row>
    <row r="1608" spans="1:11" x14ac:dyDescent="0.2">
      <c r="A1608" t="s">
        <v>382</v>
      </c>
      <c r="B1608" t="s">
        <v>1946</v>
      </c>
      <c r="C1608" t="s">
        <v>5507</v>
      </c>
      <c r="D1608" t="s">
        <v>5508</v>
      </c>
      <c r="E1608" t="s">
        <v>318</v>
      </c>
      <c r="F1608" t="s">
        <v>24</v>
      </c>
      <c r="G1608" t="s">
        <v>24</v>
      </c>
      <c r="H1608">
        <f>222*(1.01^10)</f>
        <v>245.22611184128746</v>
      </c>
      <c r="I1608">
        <f>1295*(1.01^10)</f>
        <v>1430.4856524075101</v>
      </c>
      <c r="J1608" t="s">
        <v>5509</v>
      </c>
      <c r="K1608">
        <f t="shared" si="25"/>
        <v>2.1653557628907816</v>
      </c>
    </row>
    <row r="1609" spans="1:11" x14ac:dyDescent="0.2">
      <c r="A1609" t="s">
        <v>382</v>
      </c>
      <c r="B1609" t="s">
        <v>1946</v>
      </c>
      <c r="C1609" t="s">
        <v>5510</v>
      </c>
      <c r="D1609" t="s">
        <v>5511</v>
      </c>
      <c r="E1609" t="s">
        <v>796</v>
      </c>
      <c r="F1609" t="s">
        <v>24</v>
      </c>
      <c r="G1609" t="s">
        <v>24</v>
      </c>
      <c r="H1609">
        <f>318*(1.01^10)</f>
        <v>351.26983588076308</v>
      </c>
      <c r="I1609">
        <f>1683*(1.01^10)</f>
        <v>1859.0790370670577</v>
      </c>
      <c r="J1609" t="s">
        <v>5512</v>
      </c>
      <c r="K1609">
        <f t="shared" si="25"/>
        <v>1.7850080455197037</v>
      </c>
    </row>
    <row r="1610" spans="1:11" x14ac:dyDescent="0.2">
      <c r="A1610" t="s">
        <v>382</v>
      </c>
      <c r="B1610" t="s">
        <v>1946</v>
      </c>
      <c r="C1610" t="s">
        <v>5513</v>
      </c>
      <c r="D1610" t="s">
        <v>5514</v>
      </c>
      <c r="E1610" t="s">
        <v>91</v>
      </c>
      <c r="F1610" t="s">
        <v>24</v>
      </c>
      <c r="G1610" t="s">
        <v>24</v>
      </c>
      <c r="H1610">
        <f>1045*(1.01^10)</f>
        <v>1154.330121054709</v>
      </c>
      <c r="I1610">
        <f>5151*(1.01^10)</f>
        <v>5689.9085679931159</v>
      </c>
      <c r="J1610" t="s">
        <v>5515</v>
      </c>
      <c r="K1610">
        <f t="shared" si="25"/>
        <v>3.926138158793318</v>
      </c>
    </row>
    <row r="1611" spans="1:11" x14ac:dyDescent="0.2">
      <c r="A1611" t="s">
        <v>382</v>
      </c>
      <c r="B1611" t="s">
        <v>1946</v>
      </c>
      <c r="C1611" t="s">
        <v>5516</v>
      </c>
      <c r="D1611" t="s">
        <v>5517</v>
      </c>
      <c r="E1611" t="s">
        <v>764</v>
      </c>
      <c r="F1611" t="s">
        <v>17</v>
      </c>
      <c r="G1611" t="s">
        <v>24</v>
      </c>
      <c r="H1611">
        <f>1278*(1.01^10)</f>
        <v>1411.7070762755197</v>
      </c>
      <c r="I1611">
        <f>6866*(1.01^10)</f>
        <v>7584.3355130733316</v>
      </c>
      <c r="J1611" t="s">
        <v>5518</v>
      </c>
      <c r="K1611">
        <f t="shared" si="25"/>
        <v>12.60042415656905</v>
      </c>
    </row>
    <row r="1612" spans="1:11" x14ac:dyDescent="0.2">
      <c r="A1612" t="s">
        <v>382</v>
      </c>
      <c r="B1612" t="s">
        <v>1946</v>
      </c>
      <c r="C1612" t="s">
        <v>5519</v>
      </c>
      <c r="D1612" t="s">
        <v>5520</v>
      </c>
      <c r="E1612" t="s">
        <v>484</v>
      </c>
      <c r="F1612" t="s">
        <v>24</v>
      </c>
      <c r="G1612" t="s">
        <v>24</v>
      </c>
      <c r="H1612">
        <f>2707*(1.01^10)</f>
        <v>2990.2120934881314</v>
      </c>
      <c r="I1612">
        <f>13299*(1.01^10)</f>
        <v>14690.369645843612</v>
      </c>
      <c r="J1612" t="s">
        <v>5521</v>
      </c>
      <c r="K1612">
        <f t="shared" si="25"/>
        <v>22.879817220512706</v>
      </c>
    </row>
    <row r="1613" spans="1:11" x14ac:dyDescent="0.2">
      <c r="A1613" t="s">
        <v>382</v>
      </c>
      <c r="B1613" t="s">
        <v>1946</v>
      </c>
      <c r="C1613" t="s">
        <v>5522</v>
      </c>
      <c r="D1613" t="s">
        <v>5523</v>
      </c>
      <c r="E1613" t="s">
        <v>422</v>
      </c>
      <c r="F1613" t="s">
        <v>24</v>
      </c>
      <c r="G1613" t="s">
        <v>24</v>
      </c>
      <c r="H1613">
        <f>464*(1.01^10)</f>
        <v>512.54466619079903</v>
      </c>
      <c r="I1613">
        <f>2246*(1.01^10)</f>
        <v>2480.9812936735657</v>
      </c>
      <c r="J1613" t="s">
        <v>5524</v>
      </c>
      <c r="K1613">
        <f t="shared" si="25"/>
        <v>9.6168956746116585</v>
      </c>
    </row>
    <row r="1614" spans="1:11" x14ac:dyDescent="0.2">
      <c r="A1614" t="s">
        <v>382</v>
      </c>
      <c r="B1614" t="s">
        <v>1946</v>
      </c>
      <c r="C1614" t="s">
        <v>5525</v>
      </c>
      <c r="D1614" t="s">
        <v>5526</v>
      </c>
      <c r="E1614" t="s">
        <v>520</v>
      </c>
      <c r="F1614" t="s">
        <v>17</v>
      </c>
      <c r="G1614" t="s">
        <v>24</v>
      </c>
      <c r="H1614">
        <f>871*(1.01^10)</f>
        <v>962.12587123315939</v>
      </c>
      <c r="I1614">
        <f>5013*(1.01^10)</f>
        <v>5537.4707146863693</v>
      </c>
      <c r="J1614" t="s">
        <v>5527</v>
      </c>
      <c r="K1614">
        <f t="shared" si="25"/>
        <v>11.971766308957145</v>
      </c>
    </row>
    <row r="1615" spans="1:11" x14ac:dyDescent="0.2">
      <c r="A1615" t="s">
        <v>382</v>
      </c>
      <c r="B1615" t="s">
        <v>1946</v>
      </c>
      <c r="C1615" t="s">
        <v>5528</v>
      </c>
      <c r="D1615" t="s">
        <v>5529</v>
      </c>
      <c r="E1615" t="s">
        <v>164</v>
      </c>
      <c r="F1615" t="s">
        <v>12</v>
      </c>
      <c r="G1615" t="s">
        <v>24</v>
      </c>
      <c r="H1615">
        <f>1135*(1.01^10)</f>
        <v>1253.7461123417174</v>
      </c>
      <c r="I1615">
        <f>6603*(1.01^10)</f>
        <v>7293.8198940901848</v>
      </c>
      <c r="J1615" t="s">
        <v>5530</v>
      </c>
      <c r="K1615">
        <f t="shared" si="25"/>
        <v>26.069297257743944</v>
      </c>
    </row>
    <row r="1616" spans="1:11" x14ac:dyDescent="0.2">
      <c r="A1616" t="s">
        <v>382</v>
      </c>
      <c r="B1616" t="s">
        <v>1946</v>
      </c>
      <c r="C1616" t="s">
        <v>5531</v>
      </c>
      <c r="D1616" t="s">
        <v>5532</v>
      </c>
      <c r="E1616" t="s">
        <v>333</v>
      </c>
      <c r="F1616" t="s">
        <v>12</v>
      </c>
      <c r="G1616" t="s">
        <v>12</v>
      </c>
      <c r="H1616">
        <f>3866*(1.01^10)</f>
        <v>4270.469136839718</v>
      </c>
      <c r="I1616">
        <f>19699*(1.01^10)</f>
        <v>21759.951248475321</v>
      </c>
      <c r="J1616" t="s">
        <v>5533</v>
      </c>
      <c r="K1616">
        <f t="shared" si="25"/>
        <v>72.552324112376553</v>
      </c>
    </row>
    <row r="1617" spans="1:11" x14ac:dyDescent="0.2">
      <c r="A1617" t="s">
        <v>382</v>
      </c>
      <c r="B1617" t="s">
        <v>1946</v>
      </c>
      <c r="C1617" t="s">
        <v>5534</v>
      </c>
      <c r="D1617" t="s">
        <v>5535</v>
      </c>
      <c r="E1617" t="s">
        <v>23</v>
      </c>
      <c r="F1617" t="s">
        <v>12</v>
      </c>
      <c r="G1617" t="s">
        <v>24</v>
      </c>
      <c r="H1617">
        <f>820*(1.01^10)</f>
        <v>905.79014283718789</v>
      </c>
      <c r="I1617">
        <f>4418*(1.01^10)</f>
        <v>4880.2205500667023</v>
      </c>
      <c r="J1617" t="s">
        <v>5536</v>
      </c>
      <c r="K1617">
        <f t="shared" si="25"/>
        <v>19.657481491538029</v>
      </c>
    </row>
    <row r="1618" spans="1:11" x14ac:dyDescent="0.2">
      <c r="A1618" t="s">
        <v>382</v>
      </c>
      <c r="B1618" t="s">
        <v>1946</v>
      </c>
      <c r="C1618" t="s">
        <v>5537</v>
      </c>
      <c r="D1618" t="s">
        <v>5538</v>
      </c>
      <c r="E1618" t="s">
        <v>411</v>
      </c>
      <c r="F1618" t="s">
        <v>12</v>
      </c>
      <c r="G1618" t="s">
        <v>24</v>
      </c>
      <c r="H1618">
        <f>928*(1.01^10)</f>
        <v>1025.0893323815981</v>
      </c>
      <c r="I1618">
        <f>4907*(1.01^10)</f>
        <v>5420.380769392782</v>
      </c>
      <c r="J1618" t="s">
        <v>5539</v>
      </c>
      <c r="K1618">
        <f t="shared" si="25"/>
        <v>42.064345721998535</v>
      </c>
    </row>
    <row r="1619" spans="1:11" x14ac:dyDescent="0.2">
      <c r="A1619" t="s">
        <v>382</v>
      </c>
      <c r="B1619" t="s">
        <v>1946</v>
      </c>
      <c r="C1619" t="s">
        <v>5540</v>
      </c>
      <c r="D1619" t="s">
        <v>5541</v>
      </c>
      <c r="E1619" t="s">
        <v>1506</v>
      </c>
      <c r="F1619" t="s">
        <v>24</v>
      </c>
      <c r="G1619" t="s">
        <v>24</v>
      </c>
      <c r="H1619">
        <f>863*(1.01^10)</f>
        <v>953.2888942298697</v>
      </c>
      <c r="I1619">
        <f>4017*(1.01^10)</f>
        <v>4437.2670777768099</v>
      </c>
      <c r="J1619" t="s">
        <v>5543</v>
      </c>
      <c r="K1619">
        <f t="shared" si="25"/>
        <v>21.897099434858522</v>
      </c>
    </row>
    <row r="1620" spans="1:11" x14ac:dyDescent="0.2">
      <c r="A1620" t="s">
        <v>382</v>
      </c>
      <c r="B1620" t="s">
        <v>1946</v>
      </c>
      <c r="C1620" t="s">
        <v>5544</v>
      </c>
      <c r="D1620" t="s">
        <v>5545</v>
      </c>
      <c r="E1620" t="s">
        <v>726</v>
      </c>
      <c r="F1620" t="s">
        <v>12</v>
      </c>
      <c r="G1620" t="s">
        <v>24</v>
      </c>
      <c r="H1620">
        <f>416*(1.01^10)</f>
        <v>459.52280417106118</v>
      </c>
      <c r="I1620">
        <f>2623*(1.01^10)</f>
        <v>2897.4238349535899</v>
      </c>
      <c r="J1620" t="s">
        <v>5546</v>
      </c>
      <c r="K1620">
        <f t="shared" si="25"/>
        <v>14.191755147086631</v>
      </c>
    </row>
    <row r="1621" spans="1:11" x14ac:dyDescent="0.2">
      <c r="A1621" t="s">
        <v>382</v>
      </c>
      <c r="B1621" t="s">
        <v>1946</v>
      </c>
      <c r="C1621" t="s">
        <v>5547</v>
      </c>
      <c r="D1621" t="s">
        <v>5548</v>
      </c>
      <c r="E1621" t="s">
        <v>445</v>
      </c>
      <c r="F1621" t="s">
        <v>12</v>
      </c>
      <c r="G1621" t="s">
        <v>24</v>
      </c>
      <c r="H1621">
        <f>391*(1.01^10)</f>
        <v>431.90725103578103</v>
      </c>
      <c r="I1621">
        <f>2475*(1.01^10)</f>
        <v>2733.9397603927318</v>
      </c>
      <c r="J1621" t="s">
        <v>5549</v>
      </c>
      <c r="K1621">
        <f t="shared" si="25"/>
        <v>6.5984960877792869</v>
      </c>
    </row>
    <row r="1622" spans="1:11" x14ac:dyDescent="0.2">
      <c r="A1622" t="s">
        <v>382</v>
      </c>
      <c r="B1622" t="s">
        <v>1946</v>
      </c>
      <c r="C1622" t="s">
        <v>5550</v>
      </c>
      <c r="D1622" t="s">
        <v>5551</v>
      </c>
      <c r="E1622" t="s">
        <v>61</v>
      </c>
      <c r="F1622" t="s">
        <v>24</v>
      </c>
      <c r="G1622" t="s">
        <v>24</v>
      </c>
      <c r="H1622">
        <f>545*(1.01^10)</f>
        <v>602.01905834910656</v>
      </c>
      <c r="I1622">
        <f>3153*(1.01^10)</f>
        <v>3482.8735614215284</v>
      </c>
      <c r="J1622" t="s">
        <v>5552</v>
      </c>
      <c r="K1622">
        <f t="shared" si="25"/>
        <v>25.205731881218611</v>
      </c>
    </row>
    <row r="1623" spans="1:11" x14ac:dyDescent="0.2">
      <c r="A1623" t="s">
        <v>382</v>
      </c>
      <c r="B1623" t="s">
        <v>636</v>
      </c>
      <c r="C1623" t="s">
        <v>5553</v>
      </c>
      <c r="D1623" t="s">
        <v>5554</v>
      </c>
      <c r="E1623" t="s">
        <v>97</v>
      </c>
      <c r="F1623" t="s">
        <v>12</v>
      </c>
      <c r="G1623" t="s">
        <v>24</v>
      </c>
      <c r="H1623">
        <f>813*(1.01^10)</f>
        <v>898.05778795930951</v>
      </c>
      <c r="I1623">
        <f>5091*(1.01^10)</f>
        <v>5623.6312404684431</v>
      </c>
      <c r="J1623" t="s">
        <v>5555</v>
      </c>
      <c r="K1623">
        <f t="shared" si="25"/>
        <v>7.5453320194338698</v>
      </c>
    </row>
    <row r="1624" spans="1:11" x14ac:dyDescent="0.2">
      <c r="A1624" t="s">
        <v>382</v>
      </c>
      <c r="B1624" t="s">
        <v>636</v>
      </c>
      <c r="C1624" t="s">
        <v>5556</v>
      </c>
      <c r="D1624" t="s">
        <v>5557</v>
      </c>
      <c r="E1624" t="s">
        <v>333</v>
      </c>
      <c r="F1624" t="s">
        <v>24</v>
      </c>
      <c r="G1624" t="s">
        <v>24</v>
      </c>
      <c r="H1624">
        <f>814*(1.01^10)</f>
        <v>899.1624100847207</v>
      </c>
      <c r="I1624">
        <f>4472*(1.01^10)</f>
        <v>4939.8701448389074</v>
      </c>
      <c r="J1624" t="s">
        <v>5558</v>
      </c>
      <c r="K1624">
        <f t="shared" si="25"/>
        <v>3.8064212243826208</v>
      </c>
    </row>
    <row r="1625" spans="1:11" x14ac:dyDescent="0.2">
      <c r="A1625" t="s">
        <v>382</v>
      </c>
      <c r="B1625" t="s">
        <v>636</v>
      </c>
      <c r="C1625" t="s">
        <v>5559</v>
      </c>
      <c r="D1625" t="s">
        <v>5560</v>
      </c>
      <c r="E1625" t="s">
        <v>458</v>
      </c>
      <c r="F1625" t="s">
        <v>12</v>
      </c>
      <c r="G1625" t="s">
        <v>24</v>
      </c>
      <c r="H1625">
        <f>199*(1.01^10)</f>
        <v>219.81980295682973</v>
      </c>
      <c r="I1625">
        <f>1036*(1.01^10)</f>
        <v>1144.388521926008</v>
      </c>
      <c r="J1625" t="s">
        <v>5561</v>
      </c>
      <c r="K1625">
        <f t="shared" si="25"/>
        <v>3.6997392866456154</v>
      </c>
    </row>
    <row r="1626" spans="1:11" x14ac:dyDescent="0.2">
      <c r="A1626" t="s">
        <v>382</v>
      </c>
      <c r="B1626" t="s">
        <v>636</v>
      </c>
      <c r="C1626" t="s">
        <v>5562</v>
      </c>
      <c r="D1626" t="s">
        <v>5563</v>
      </c>
      <c r="E1626" t="s">
        <v>274</v>
      </c>
      <c r="F1626" t="s">
        <v>24</v>
      </c>
      <c r="G1626" t="s">
        <v>24</v>
      </c>
      <c r="H1626">
        <f>544*(1.01^10)</f>
        <v>600.91443622369536</v>
      </c>
      <c r="I1626">
        <f>2354*(1.01^10)</f>
        <v>2600.2804832179759</v>
      </c>
      <c r="J1626" t="s">
        <v>5565</v>
      </c>
      <c r="K1626">
        <f t="shared" si="25"/>
        <v>2.982404950522394</v>
      </c>
    </row>
    <row r="1627" spans="1:11" x14ac:dyDescent="0.2">
      <c r="A1627" t="s">
        <v>382</v>
      </c>
      <c r="B1627" t="s">
        <v>636</v>
      </c>
      <c r="C1627" t="s">
        <v>5566</v>
      </c>
      <c r="D1627" t="s">
        <v>5567</v>
      </c>
      <c r="E1627" t="s">
        <v>422</v>
      </c>
      <c r="F1627" t="s">
        <v>17</v>
      </c>
      <c r="G1627" t="s">
        <v>24</v>
      </c>
      <c r="H1627">
        <f>427*(1.01^10)</f>
        <v>471.67364755058441</v>
      </c>
      <c r="I1627">
        <f>2711*(1.01^10)</f>
        <v>2994.6305819897761</v>
      </c>
      <c r="J1627" t="s">
        <v>5568</v>
      </c>
      <c r="K1627">
        <f t="shared" si="25"/>
        <v>5.7249871465494122</v>
      </c>
    </row>
    <row r="1628" spans="1:11" x14ac:dyDescent="0.2">
      <c r="A1628" t="s">
        <v>382</v>
      </c>
      <c r="B1628" t="s">
        <v>636</v>
      </c>
      <c r="C1628" t="s">
        <v>5569</v>
      </c>
      <c r="D1628" t="s">
        <v>5570</v>
      </c>
      <c r="E1628" t="s">
        <v>382</v>
      </c>
      <c r="F1628" t="s">
        <v>24</v>
      </c>
      <c r="G1628" t="s">
        <v>24</v>
      </c>
      <c r="H1628">
        <f>771*(1.01^10)</f>
        <v>851.66365869203889</v>
      </c>
      <c r="I1628">
        <f>5094*(1.01^10)</f>
        <v>5626.945106844677</v>
      </c>
      <c r="J1628" t="s">
        <v>5571</v>
      </c>
      <c r="K1628">
        <f t="shared" si="25"/>
        <v>21.181451150229723</v>
      </c>
    </row>
    <row r="1629" spans="1:11" x14ac:dyDescent="0.2">
      <c r="A1629" t="s">
        <v>382</v>
      </c>
      <c r="B1629" t="s">
        <v>636</v>
      </c>
      <c r="C1629" t="s">
        <v>5572</v>
      </c>
      <c r="D1629" t="s">
        <v>5573</v>
      </c>
      <c r="E1629" t="s">
        <v>108</v>
      </c>
      <c r="F1629" t="s">
        <v>24</v>
      </c>
      <c r="G1629" t="s">
        <v>24</v>
      </c>
      <c r="H1629">
        <f>218*(1.01^10)</f>
        <v>240.80762333964265</v>
      </c>
      <c r="I1629">
        <f>1303*(1.01^10)</f>
        <v>1439.3226294107999</v>
      </c>
      <c r="J1629" t="s">
        <v>5574</v>
      </c>
      <c r="K1629">
        <f t="shared" si="25"/>
        <v>3.4940764715684338</v>
      </c>
    </row>
    <row r="1630" spans="1:11" x14ac:dyDescent="0.2">
      <c r="A1630" t="s">
        <v>382</v>
      </c>
      <c r="B1630" t="s">
        <v>636</v>
      </c>
      <c r="C1630" t="s">
        <v>5575</v>
      </c>
      <c r="D1630" t="s">
        <v>5576</v>
      </c>
      <c r="E1630" t="s">
        <v>313</v>
      </c>
      <c r="F1630" t="s">
        <v>92</v>
      </c>
      <c r="G1630" t="s">
        <v>24</v>
      </c>
      <c r="H1630">
        <f>1105*(1.01^10)</f>
        <v>1220.6074485793813</v>
      </c>
      <c r="I1630">
        <f>6014*(1.01^10)</f>
        <v>6643.1974622229855</v>
      </c>
      <c r="J1630" t="s">
        <v>5577</v>
      </c>
      <c r="K1630">
        <f t="shared" si="25"/>
        <v>22.08949062367428</v>
      </c>
    </row>
    <row r="1631" spans="1:11" x14ac:dyDescent="0.2">
      <c r="A1631" t="s">
        <v>382</v>
      </c>
      <c r="B1631" t="s">
        <v>636</v>
      </c>
      <c r="C1631" t="s">
        <v>5578</v>
      </c>
      <c r="D1631" t="s">
        <v>5579</v>
      </c>
      <c r="E1631" t="s">
        <v>152</v>
      </c>
      <c r="F1631" t="s">
        <v>24</v>
      </c>
      <c r="G1631" t="s">
        <v>24</v>
      </c>
      <c r="H1631">
        <f>533*(1.01^10)</f>
        <v>588.76359284417208</v>
      </c>
      <c r="I1631">
        <f>3144*(1.01^10)</f>
        <v>3472.9319622928278</v>
      </c>
      <c r="J1631" t="s">
        <v>5580</v>
      </c>
      <c r="K1631">
        <f t="shared" si="25"/>
        <v>14.126809167744861</v>
      </c>
    </row>
    <row r="1632" spans="1:11" x14ac:dyDescent="0.2">
      <c r="A1632" t="s">
        <v>382</v>
      </c>
      <c r="B1632" t="s">
        <v>636</v>
      </c>
      <c r="C1632" t="s">
        <v>5581</v>
      </c>
      <c r="D1632" t="s">
        <v>5582</v>
      </c>
      <c r="E1632" t="s">
        <v>44</v>
      </c>
      <c r="F1632" t="s">
        <v>24</v>
      </c>
      <c r="G1632" t="s">
        <v>24</v>
      </c>
      <c r="H1632">
        <f>746*(1.01^10)</f>
        <v>824.04810555675874</v>
      </c>
      <c r="I1632">
        <f>3996*(1.01^10)</f>
        <v>4414.070013143174</v>
      </c>
      <c r="J1632" t="s">
        <v>5583</v>
      </c>
      <c r="K1632">
        <f t="shared" si="25"/>
        <v>31.61355259805994</v>
      </c>
    </row>
    <row r="1633" spans="1:11" x14ac:dyDescent="0.2">
      <c r="A1633" t="s">
        <v>382</v>
      </c>
      <c r="B1633" t="s">
        <v>636</v>
      </c>
      <c r="C1633" t="s">
        <v>5584</v>
      </c>
      <c r="D1633" t="s">
        <v>5585</v>
      </c>
      <c r="E1633" t="s">
        <v>77</v>
      </c>
      <c r="F1633" t="s">
        <v>24</v>
      </c>
      <c r="G1633" t="s">
        <v>24</v>
      </c>
      <c r="H1633">
        <f>633*(1.01^10)</f>
        <v>699.22580538529257</v>
      </c>
      <c r="I1633">
        <f>4235*(1.01^10)</f>
        <v>4678.0747011164522</v>
      </c>
      <c r="J1633" t="s">
        <v>5586</v>
      </c>
      <c r="K1633">
        <f t="shared" si="25"/>
        <v>16.361791323896192</v>
      </c>
    </row>
    <row r="1634" spans="1:11" x14ac:dyDescent="0.2">
      <c r="A1634" t="s">
        <v>382</v>
      </c>
      <c r="B1634" t="s">
        <v>636</v>
      </c>
      <c r="C1634" t="s">
        <v>5587</v>
      </c>
      <c r="D1634" t="s">
        <v>5588</v>
      </c>
      <c r="E1634" t="s">
        <v>318</v>
      </c>
      <c r="F1634" t="s">
        <v>11</v>
      </c>
      <c r="G1634" t="s">
        <v>24</v>
      </c>
      <c r="H1634">
        <f>399*(1.01^10)</f>
        <v>440.74422803907072</v>
      </c>
      <c r="I1634">
        <f>2315*(1.01^10)</f>
        <v>2557.200220326939</v>
      </c>
      <c r="J1634" t="s">
        <v>5589</v>
      </c>
      <c r="K1634">
        <f t="shared" si="25"/>
        <v>27.407979910300487</v>
      </c>
    </row>
    <row r="1635" spans="1:11" x14ac:dyDescent="0.2">
      <c r="A1635" t="s">
        <v>382</v>
      </c>
      <c r="B1635" t="s">
        <v>636</v>
      </c>
      <c r="C1635" t="s">
        <v>5590</v>
      </c>
      <c r="D1635" t="s">
        <v>5591</v>
      </c>
      <c r="E1635" t="s">
        <v>674</v>
      </c>
      <c r="F1635" t="s">
        <v>17</v>
      </c>
      <c r="G1635" t="s">
        <v>12</v>
      </c>
      <c r="H1635">
        <f>6995*(1.01^10)</f>
        <v>7726.8317672513776</v>
      </c>
      <c r="I1635">
        <f>34916*(1.01^10)</f>
        <v>38568.986130857622</v>
      </c>
      <c r="J1635" t="s">
        <v>5592</v>
      </c>
      <c r="K1635">
        <f t="shared" si="25"/>
        <v>83.763249694782743</v>
      </c>
    </row>
    <row r="1636" spans="1:11" x14ac:dyDescent="0.2">
      <c r="A1636" t="s">
        <v>382</v>
      </c>
      <c r="B1636" t="s">
        <v>636</v>
      </c>
      <c r="C1636" t="s">
        <v>5593</v>
      </c>
      <c r="D1636" t="s">
        <v>5594</v>
      </c>
      <c r="E1636" t="s">
        <v>1656</v>
      </c>
      <c r="F1636" t="s">
        <v>24</v>
      </c>
      <c r="G1636" t="s">
        <v>24</v>
      </c>
      <c r="H1636">
        <f>977*(1.01^10)</f>
        <v>1079.2158165267469</v>
      </c>
      <c r="I1636">
        <f>5662*(1.01^10)</f>
        <v>6254.3704740782414</v>
      </c>
      <c r="J1636" t="s">
        <v>5595</v>
      </c>
      <c r="K1636">
        <f t="shared" si="25"/>
        <v>45.639345297312538</v>
      </c>
    </row>
    <row r="1637" spans="1:11" x14ac:dyDescent="0.2">
      <c r="A1637" t="s">
        <v>382</v>
      </c>
      <c r="B1637" t="s">
        <v>636</v>
      </c>
      <c r="C1637" t="s">
        <v>5596</v>
      </c>
      <c r="D1637" t="s">
        <v>5597</v>
      </c>
      <c r="E1637" t="s">
        <v>220</v>
      </c>
      <c r="F1637" t="s">
        <v>12</v>
      </c>
      <c r="G1637" t="s">
        <v>12</v>
      </c>
      <c r="H1637">
        <f>2512*(1.01^10)</f>
        <v>2774.8107790329464</v>
      </c>
      <c r="I1637">
        <f>12224*(1.01^10)</f>
        <v>13502.900861026566</v>
      </c>
      <c r="J1637" t="s">
        <v>5598</v>
      </c>
      <c r="K1637">
        <f t="shared" si="25"/>
        <v>39.073643721025348</v>
      </c>
    </row>
    <row r="1638" spans="1:11" x14ac:dyDescent="0.2">
      <c r="A1638" t="s">
        <v>382</v>
      </c>
      <c r="B1638" t="s">
        <v>636</v>
      </c>
      <c r="C1638" t="s">
        <v>5599</v>
      </c>
      <c r="D1638" t="s">
        <v>5600</v>
      </c>
      <c r="E1638" t="s">
        <v>382</v>
      </c>
      <c r="F1638" t="s">
        <v>24</v>
      </c>
      <c r="G1638" t="s">
        <v>24</v>
      </c>
      <c r="H1638">
        <f>460*(1.01^10)</f>
        <v>508.12617768915419</v>
      </c>
      <c r="I1638">
        <f>2266*(1.01^10)</f>
        <v>2503.0737361817901</v>
      </c>
      <c r="J1638" t="s">
        <v>5601</v>
      </c>
      <c r="K1638">
        <f t="shared" si="25"/>
        <v>6.0692151714809066</v>
      </c>
    </row>
    <row r="1639" spans="1:11" x14ac:dyDescent="0.2">
      <c r="A1639" t="s">
        <v>382</v>
      </c>
      <c r="B1639" t="s">
        <v>636</v>
      </c>
      <c r="C1639" t="s">
        <v>5602</v>
      </c>
      <c r="D1639" t="s">
        <v>5603</v>
      </c>
      <c r="E1639" t="s">
        <v>382</v>
      </c>
      <c r="F1639" t="s">
        <v>24</v>
      </c>
      <c r="G1639" t="s">
        <v>24</v>
      </c>
      <c r="H1639">
        <f>374*(1.01^10)</f>
        <v>413.12867490379057</v>
      </c>
      <c r="I1639">
        <f>1783*(1.01^10)</f>
        <v>1969.5412496081781</v>
      </c>
      <c r="J1639" t="s">
        <v>5604</v>
      </c>
      <c r="K1639">
        <f t="shared" si="25"/>
        <v>6.3229712297522509</v>
      </c>
    </row>
    <row r="1640" spans="1:11" x14ac:dyDescent="0.2">
      <c r="A1640" t="s">
        <v>382</v>
      </c>
      <c r="B1640" t="s">
        <v>636</v>
      </c>
      <c r="C1640" t="s">
        <v>5605</v>
      </c>
      <c r="D1640" t="s">
        <v>5606</v>
      </c>
      <c r="E1640" t="s">
        <v>318</v>
      </c>
      <c r="F1640" t="s">
        <v>24</v>
      </c>
      <c r="G1640" t="s">
        <v>24</v>
      </c>
      <c r="H1640">
        <f>251*(1.01^10)</f>
        <v>277.26015347821237</v>
      </c>
      <c r="I1640">
        <f>1345*(1.01^10)</f>
        <v>1485.7167586780704</v>
      </c>
      <c r="J1640" t="s">
        <v>5607</v>
      </c>
      <c r="K1640">
        <f t="shared" si="25"/>
        <v>9.2140480896711221</v>
      </c>
    </row>
    <row r="1641" spans="1:11" x14ac:dyDescent="0.2">
      <c r="A1641" t="s">
        <v>382</v>
      </c>
      <c r="B1641" t="s">
        <v>636</v>
      </c>
      <c r="C1641" t="s">
        <v>5608</v>
      </c>
      <c r="D1641" t="s">
        <v>5609</v>
      </c>
      <c r="E1641" t="s">
        <v>61</v>
      </c>
      <c r="F1641" t="s">
        <v>24</v>
      </c>
      <c r="G1641" t="s">
        <v>24</v>
      </c>
      <c r="H1641">
        <f>1205*(1.01^10)</f>
        <v>1331.0696611205017</v>
      </c>
      <c r="I1641">
        <f>6076*(1.01^10)</f>
        <v>6711.6840339984801</v>
      </c>
      <c r="J1641" t="s">
        <v>5610</v>
      </c>
      <c r="K1641">
        <f t="shared" si="25"/>
        <v>19.70309784094351</v>
      </c>
    </row>
    <row r="1642" spans="1:11" x14ac:dyDescent="0.2">
      <c r="A1642" t="s">
        <v>382</v>
      </c>
      <c r="B1642" t="s">
        <v>636</v>
      </c>
      <c r="C1642" t="s">
        <v>5611</v>
      </c>
      <c r="D1642" t="s">
        <v>5612</v>
      </c>
      <c r="E1642" t="s">
        <v>726</v>
      </c>
      <c r="F1642" t="s">
        <v>17</v>
      </c>
      <c r="G1642" t="s">
        <v>24</v>
      </c>
      <c r="H1642">
        <f>495*(1.01^10)</f>
        <v>546.78795207854637</v>
      </c>
      <c r="I1642">
        <f>2500*(1.01^10)</f>
        <v>2761.555313528012</v>
      </c>
      <c r="J1642" t="s">
        <v>5614</v>
      </c>
      <c r="K1642">
        <f t="shared" si="25"/>
        <v>5.4703710152541003</v>
      </c>
    </row>
    <row r="1643" spans="1:11" x14ac:dyDescent="0.2">
      <c r="A1643" t="s">
        <v>382</v>
      </c>
      <c r="B1643" t="s">
        <v>636</v>
      </c>
      <c r="C1643" t="s">
        <v>5615</v>
      </c>
      <c r="D1643" t="s">
        <v>5616</v>
      </c>
      <c r="E1643" t="s">
        <v>44</v>
      </c>
      <c r="F1643" t="s">
        <v>24</v>
      </c>
      <c r="G1643" t="s">
        <v>24</v>
      </c>
      <c r="H1643">
        <f>760*(1.01^10)</f>
        <v>839.51281531251561</v>
      </c>
      <c r="I1643">
        <f>3737*(1.01^10)</f>
        <v>4127.972882661672</v>
      </c>
      <c r="J1643" t="s">
        <v>5617</v>
      </c>
      <c r="K1643">
        <f t="shared" si="25"/>
        <v>25.647346131809673</v>
      </c>
    </row>
    <row r="1644" spans="1:11" x14ac:dyDescent="0.2">
      <c r="A1644" t="s">
        <v>382</v>
      </c>
      <c r="B1644" t="s">
        <v>2417</v>
      </c>
      <c r="C1644" t="s">
        <v>5618</v>
      </c>
      <c r="D1644" t="s">
        <v>5619</v>
      </c>
      <c r="E1644" t="s">
        <v>405</v>
      </c>
      <c r="F1644" t="s">
        <v>24</v>
      </c>
      <c r="G1644" t="s">
        <v>12</v>
      </c>
      <c r="H1644">
        <f>1084*(1.01^10)</f>
        <v>1197.4103839457459</v>
      </c>
      <c r="I1644">
        <f>5776*(1.01^10)</f>
        <v>6380.2973963751183</v>
      </c>
      <c r="J1644" t="s">
        <v>5620</v>
      </c>
      <c r="K1644">
        <f t="shared" si="25"/>
        <v>13.0604142656678</v>
      </c>
    </row>
    <row r="1645" spans="1:11" x14ac:dyDescent="0.2">
      <c r="A1645" t="s">
        <v>382</v>
      </c>
      <c r="B1645" t="s">
        <v>2417</v>
      </c>
      <c r="C1645" t="s">
        <v>5621</v>
      </c>
      <c r="D1645" t="s">
        <v>3875</v>
      </c>
      <c r="E1645" t="s">
        <v>6</v>
      </c>
      <c r="F1645" t="s">
        <v>24</v>
      </c>
      <c r="G1645" t="s">
        <v>24</v>
      </c>
      <c r="H1645">
        <f>870*(1.01^10)</f>
        <v>961.02124910774808</v>
      </c>
      <c r="I1645">
        <f>4153*(1.01^10)</f>
        <v>4587.4956868327336</v>
      </c>
      <c r="J1645" t="s">
        <v>5622</v>
      </c>
      <c r="K1645">
        <f t="shared" si="25"/>
        <v>28.992291207739786</v>
      </c>
    </row>
    <row r="1646" spans="1:11" x14ac:dyDescent="0.2">
      <c r="A1646" t="s">
        <v>382</v>
      </c>
      <c r="B1646" t="s">
        <v>2417</v>
      </c>
      <c r="C1646" t="s">
        <v>5623</v>
      </c>
      <c r="D1646" t="s">
        <v>5624</v>
      </c>
      <c r="E1646" t="s">
        <v>152</v>
      </c>
      <c r="F1646" t="s">
        <v>12</v>
      </c>
      <c r="G1646" t="s">
        <v>24</v>
      </c>
      <c r="H1646">
        <f>622*(1.01^10)</f>
        <v>687.07496200576941</v>
      </c>
      <c r="I1646">
        <f>3411*(1.01^10)</f>
        <v>3767.8660697776195</v>
      </c>
      <c r="J1646" t="s">
        <v>5626</v>
      </c>
      <c r="K1646">
        <f t="shared" si="25"/>
        <v>21.271959577128023</v>
      </c>
    </row>
    <row r="1647" spans="1:11" x14ac:dyDescent="0.2">
      <c r="A1647" t="s">
        <v>382</v>
      </c>
      <c r="B1647" t="s">
        <v>2417</v>
      </c>
      <c r="C1647" t="s">
        <v>5627</v>
      </c>
      <c r="D1647" t="s">
        <v>5628</v>
      </c>
      <c r="E1647" t="s">
        <v>405</v>
      </c>
      <c r="F1647" t="s">
        <v>24</v>
      </c>
      <c r="G1647" t="s">
        <v>24</v>
      </c>
      <c r="H1647">
        <f>337*(1.01^10)</f>
        <v>372.257656263576</v>
      </c>
      <c r="I1647">
        <f>1629*(1.01^10)</f>
        <v>1799.4294422948526</v>
      </c>
      <c r="J1647" t="s">
        <v>5629</v>
      </c>
      <c r="K1647">
        <f t="shared" si="25"/>
        <v>4.1761988083720691</v>
      </c>
    </row>
    <row r="1648" spans="1:11" x14ac:dyDescent="0.2">
      <c r="A1648" t="s">
        <v>382</v>
      </c>
      <c r="B1648" t="s">
        <v>2417</v>
      </c>
      <c r="C1648" t="s">
        <v>5630</v>
      </c>
      <c r="D1648" t="s">
        <v>5631</v>
      </c>
      <c r="E1648" t="s">
        <v>6</v>
      </c>
      <c r="F1648" t="s">
        <v>24</v>
      </c>
      <c r="G1648" t="s">
        <v>24</v>
      </c>
      <c r="H1648">
        <f>420*(1.01^10)</f>
        <v>463.94129267270597</v>
      </c>
      <c r="I1648">
        <f>2363*(1.01^10)</f>
        <v>2610.2220823466769</v>
      </c>
      <c r="J1648" t="s">
        <v>5632</v>
      </c>
      <c r="K1648">
        <f t="shared" si="25"/>
        <v>18.684129980502526</v>
      </c>
    </row>
    <row r="1649" spans="1:11" x14ac:dyDescent="0.2">
      <c r="A1649" t="s">
        <v>382</v>
      </c>
      <c r="B1649" t="s">
        <v>2417</v>
      </c>
      <c r="C1649" t="s">
        <v>5633</v>
      </c>
      <c r="D1649" t="s">
        <v>5634</v>
      </c>
      <c r="E1649" t="s">
        <v>382</v>
      </c>
      <c r="F1649" t="s">
        <v>24</v>
      </c>
      <c r="G1649" t="s">
        <v>24</v>
      </c>
      <c r="H1649">
        <f>247*(1.01^10)</f>
        <v>272.84166497656759</v>
      </c>
      <c r="I1649">
        <f>2005*(1.01^10)</f>
        <v>2214.7673614494656</v>
      </c>
      <c r="J1649" t="s">
        <v>5635</v>
      </c>
      <c r="K1649">
        <f t="shared" si="25"/>
        <v>24.641037050013086</v>
      </c>
    </row>
    <row r="1650" spans="1:11" x14ac:dyDescent="0.2">
      <c r="A1650" t="s">
        <v>382</v>
      </c>
      <c r="B1650" t="s">
        <v>2417</v>
      </c>
      <c r="C1650" t="s">
        <v>5636</v>
      </c>
      <c r="D1650" t="s">
        <v>5637</v>
      </c>
      <c r="E1650" t="s">
        <v>92</v>
      </c>
      <c r="F1650" t="s">
        <v>24</v>
      </c>
      <c r="G1650" t="s">
        <v>24</v>
      </c>
      <c r="H1650">
        <f>123*(1.01^10)</f>
        <v>135.86852142557819</v>
      </c>
      <c r="I1650">
        <f>884*(1.01^10)</f>
        <v>976.48595886350495</v>
      </c>
      <c r="J1650" t="s">
        <v>5638</v>
      </c>
      <c r="K1650">
        <f t="shared" si="25"/>
        <v>4.997400257140562</v>
      </c>
    </row>
    <row r="1651" spans="1:11" x14ac:dyDescent="0.2">
      <c r="A1651" t="s">
        <v>382</v>
      </c>
      <c r="B1651" t="s">
        <v>2417</v>
      </c>
      <c r="C1651" t="s">
        <v>5639</v>
      </c>
      <c r="D1651" t="s">
        <v>5640</v>
      </c>
      <c r="E1651" t="s">
        <v>152</v>
      </c>
      <c r="F1651" t="s">
        <v>24</v>
      </c>
      <c r="G1651" t="s">
        <v>24</v>
      </c>
      <c r="H1651">
        <f>864*(1.01^10)</f>
        <v>954.39351635528089</v>
      </c>
      <c r="I1651">
        <f>4989*(1.01^10)</f>
        <v>5510.9597836765006</v>
      </c>
      <c r="J1651" t="s">
        <v>5641</v>
      </c>
      <c r="K1651">
        <f t="shared" si="25"/>
        <v>47.31579935558495</v>
      </c>
    </row>
    <row r="1652" spans="1:11" x14ac:dyDescent="0.2">
      <c r="A1652" t="s">
        <v>382</v>
      </c>
      <c r="B1652" t="s">
        <v>2417</v>
      </c>
      <c r="C1652" t="s">
        <v>5642</v>
      </c>
      <c r="D1652" t="s">
        <v>5643</v>
      </c>
      <c r="E1652" t="s">
        <v>152</v>
      </c>
      <c r="F1652" t="s">
        <v>24</v>
      </c>
      <c r="G1652" t="s">
        <v>24</v>
      </c>
      <c r="H1652">
        <f>478*(1.01^10)</f>
        <v>528.00937594655591</v>
      </c>
      <c r="I1652">
        <f>3048*(1.01^10)</f>
        <v>3366.888238253352</v>
      </c>
      <c r="J1652" t="s">
        <v>5644</v>
      </c>
      <c r="K1652">
        <f t="shared" si="25"/>
        <v>23.493578440489507</v>
      </c>
    </row>
    <row r="1653" spans="1:11" x14ac:dyDescent="0.2">
      <c r="A1653" t="s">
        <v>382</v>
      </c>
      <c r="B1653" t="s">
        <v>2417</v>
      </c>
      <c r="C1653" t="s">
        <v>5645</v>
      </c>
      <c r="D1653" t="s">
        <v>5646</v>
      </c>
      <c r="E1653" t="s">
        <v>152</v>
      </c>
      <c r="F1653" t="s">
        <v>24</v>
      </c>
      <c r="G1653" t="s">
        <v>24</v>
      </c>
      <c r="H1653">
        <f>898*(1.01^10)</f>
        <v>991.95066861926182</v>
      </c>
      <c r="I1653">
        <f>4734*(1.01^10)</f>
        <v>5229.2811416966433</v>
      </c>
      <c r="J1653" t="s">
        <v>5648</v>
      </c>
      <c r="K1653">
        <f t="shared" si="25"/>
        <v>18.838407163245684</v>
      </c>
    </row>
    <row r="1654" spans="1:11" x14ac:dyDescent="0.2">
      <c r="A1654" t="s">
        <v>382</v>
      </c>
      <c r="B1654" t="s">
        <v>2417</v>
      </c>
      <c r="C1654" t="s">
        <v>5649</v>
      </c>
      <c r="D1654" t="s">
        <v>5650</v>
      </c>
      <c r="E1654" t="s">
        <v>405</v>
      </c>
      <c r="F1654" t="s">
        <v>24</v>
      </c>
      <c r="G1654" t="s">
        <v>24</v>
      </c>
      <c r="H1654">
        <f>1057*(1.01^10)</f>
        <v>1167.5855865596434</v>
      </c>
      <c r="I1654">
        <f>5679*(1.01^10)</f>
        <v>6273.1490502102315</v>
      </c>
      <c r="J1654" t="s">
        <v>5651</v>
      </c>
      <c r="K1654">
        <f t="shared" si="25"/>
        <v>59.183625646486902</v>
      </c>
    </row>
    <row r="1655" spans="1:11" x14ac:dyDescent="0.2">
      <c r="A1655" t="s">
        <v>382</v>
      </c>
      <c r="B1655" t="s">
        <v>2417</v>
      </c>
      <c r="C1655" t="s">
        <v>5652</v>
      </c>
      <c r="D1655" t="s">
        <v>5653</v>
      </c>
      <c r="E1655" t="s">
        <v>382</v>
      </c>
      <c r="F1655" t="s">
        <v>24</v>
      </c>
      <c r="G1655" t="s">
        <v>24</v>
      </c>
      <c r="H1655">
        <f>1872*(1.01^10)</f>
        <v>2067.8526187697753</v>
      </c>
      <c r="I1655">
        <f>9715*(1.01^10)</f>
        <v>10731.403948369854</v>
      </c>
      <c r="J1655" t="s">
        <v>5654</v>
      </c>
      <c r="K1655">
        <f t="shared" si="25"/>
        <v>73.216191694903614</v>
      </c>
    </row>
    <row r="1656" spans="1:11" x14ac:dyDescent="0.2">
      <c r="A1656" t="s">
        <v>382</v>
      </c>
      <c r="B1656" t="s">
        <v>2417</v>
      </c>
      <c r="C1656" t="s">
        <v>5655</v>
      </c>
      <c r="D1656" t="s">
        <v>5656</v>
      </c>
      <c r="E1656" t="s">
        <v>427</v>
      </c>
      <c r="F1656" t="s">
        <v>24</v>
      </c>
      <c r="G1656" t="s">
        <v>12</v>
      </c>
      <c r="H1656">
        <f>7584*(1.01^10)</f>
        <v>8377.4541991185761</v>
      </c>
      <c r="I1656">
        <f>36354*(1.01^10)</f>
        <v>40157.432747198938</v>
      </c>
      <c r="J1656" t="s">
        <v>5657</v>
      </c>
      <c r="K1656">
        <f t="shared" si="25"/>
        <v>131.77458479261091</v>
      </c>
    </row>
    <row r="1657" spans="1:11" x14ac:dyDescent="0.2">
      <c r="A1657" t="s">
        <v>382</v>
      </c>
      <c r="B1657" t="s">
        <v>2417</v>
      </c>
      <c r="C1657" t="s">
        <v>5658</v>
      </c>
      <c r="D1657" t="s">
        <v>5659</v>
      </c>
      <c r="E1657" t="s">
        <v>405</v>
      </c>
      <c r="F1657" t="s">
        <v>24</v>
      </c>
      <c r="G1657" t="s">
        <v>24</v>
      </c>
      <c r="H1657">
        <f>1328*(1.01^10)</f>
        <v>1466.9381825460798</v>
      </c>
      <c r="I1657">
        <f>7015*(1.01^10)</f>
        <v>7748.9242097596016</v>
      </c>
      <c r="J1657" t="s">
        <v>5660</v>
      </c>
      <c r="K1657">
        <f t="shared" si="25"/>
        <v>13.553866688588734</v>
      </c>
    </row>
    <row r="1658" spans="1:11" x14ac:dyDescent="0.2">
      <c r="A1658" t="s">
        <v>382</v>
      </c>
      <c r="B1658" t="s">
        <v>2417</v>
      </c>
      <c r="C1658" t="s">
        <v>5661</v>
      </c>
      <c r="D1658" t="s">
        <v>5662</v>
      </c>
      <c r="E1658" t="s">
        <v>744</v>
      </c>
      <c r="F1658" t="s">
        <v>24</v>
      </c>
      <c r="G1658" t="s">
        <v>24</v>
      </c>
      <c r="H1658">
        <f>1323*(1.01^10)</f>
        <v>1461.4150719190238</v>
      </c>
      <c r="I1658">
        <f>7459*(1.01^10)</f>
        <v>8239.3764334421758</v>
      </c>
      <c r="J1658" t="s">
        <v>5663</v>
      </c>
      <c r="K1658">
        <f t="shared" si="25"/>
        <v>32.076014310213132</v>
      </c>
    </row>
    <row r="1659" spans="1:11" x14ac:dyDescent="0.2">
      <c r="A1659" t="s">
        <v>382</v>
      </c>
      <c r="B1659" t="s">
        <v>2113</v>
      </c>
      <c r="C1659" t="s">
        <v>5664</v>
      </c>
      <c r="D1659" t="s">
        <v>5665</v>
      </c>
      <c r="E1659" t="s">
        <v>458</v>
      </c>
      <c r="F1659" t="s">
        <v>6</v>
      </c>
      <c r="G1659" t="s">
        <v>24</v>
      </c>
      <c r="H1659">
        <f>905*(1.01^10)</f>
        <v>999.68302349714031</v>
      </c>
      <c r="I1659">
        <f>5207*(1.01^10)</f>
        <v>5751.7674070161429</v>
      </c>
      <c r="J1659" t="s">
        <v>5666</v>
      </c>
      <c r="K1659">
        <f t="shared" si="25"/>
        <v>2.3171791342752166</v>
      </c>
    </row>
    <row r="1660" spans="1:11" x14ac:dyDescent="0.2">
      <c r="A1660" t="s">
        <v>382</v>
      </c>
      <c r="B1660" t="s">
        <v>2113</v>
      </c>
      <c r="C1660" t="s">
        <v>5667</v>
      </c>
      <c r="D1660" t="s">
        <v>5668</v>
      </c>
      <c r="E1660" t="s">
        <v>92</v>
      </c>
      <c r="F1660" t="s">
        <v>24</v>
      </c>
      <c r="G1660" t="s">
        <v>24</v>
      </c>
      <c r="H1660">
        <f>218*(1.01^10)</f>
        <v>240.80762333964265</v>
      </c>
      <c r="I1660">
        <f>857*(1.01^10)</f>
        <v>946.66116147740252</v>
      </c>
      <c r="J1660" t="s">
        <v>5669</v>
      </c>
      <c r="K1660">
        <f t="shared" si="25"/>
        <v>1.8228724777931506</v>
      </c>
    </row>
    <row r="1661" spans="1:11" x14ac:dyDescent="0.2">
      <c r="A1661" t="s">
        <v>382</v>
      </c>
      <c r="B1661" t="s">
        <v>2113</v>
      </c>
      <c r="C1661" t="s">
        <v>5670</v>
      </c>
      <c r="D1661" t="s">
        <v>5671</v>
      </c>
      <c r="E1661" t="s">
        <v>92</v>
      </c>
      <c r="F1661" t="s">
        <v>24</v>
      </c>
      <c r="G1661" t="s">
        <v>24</v>
      </c>
      <c r="H1661">
        <f>124*(1.01^10)</f>
        <v>136.97314355098939</v>
      </c>
      <c r="I1661">
        <f>613*(1.01^10)</f>
        <v>677.13336287706852</v>
      </c>
      <c r="J1661" t="s">
        <v>5673</v>
      </c>
      <c r="K1661">
        <f t="shared" si="25"/>
        <v>4.2596907207403492</v>
      </c>
    </row>
    <row r="1662" spans="1:11" x14ac:dyDescent="0.2">
      <c r="A1662" t="s">
        <v>382</v>
      </c>
      <c r="B1662" t="s">
        <v>2113</v>
      </c>
      <c r="C1662" t="s">
        <v>5674</v>
      </c>
      <c r="D1662" t="s">
        <v>5675</v>
      </c>
      <c r="E1662" t="s">
        <v>158</v>
      </c>
      <c r="F1662" t="s">
        <v>24</v>
      </c>
      <c r="G1662" t="s">
        <v>24</v>
      </c>
      <c r="H1662">
        <f>176*(1.01^10)</f>
        <v>194.41349407237203</v>
      </c>
      <c r="I1662">
        <f>780*(1.01^10)</f>
        <v>861.60525782073967</v>
      </c>
      <c r="J1662" t="s">
        <v>5676</v>
      </c>
      <c r="K1662">
        <f t="shared" si="25"/>
        <v>2.2526098444670626</v>
      </c>
    </row>
    <row r="1663" spans="1:11" x14ac:dyDescent="0.2">
      <c r="A1663" t="s">
        <v>382</v>
      </c>
      <c r="B1663" t="s">
        <v>2113</v>
      </c>
      <c r="C1663" t="s">
        <v>5677</v>
      </c>
      <c r="D1663" t="s">
        <v>5678</v>
      </c>
      <c r="E1663" t="s">
        <v>458</v>
      </c>
      <c r="F1663" t="s">
        <v>12</v>
      </c>
      <c r="G1663" t="s">
        <v>24</v>
      </c>
      <c r="H1663">
        <f>157*(1.01^10)</f>
        <v>173.42567368955915</v>
      </c>
      <c r="I1663">
        <f>988*(1.01^10)</f>
        <v>1091.3666599062703</v>
      </c>
      <c r="J1663" t="s">
        <v>5679</v>
      </c>
      <c r="K1663">
        <f t="shared" si="25"/>
        <v>1.3889543189086482</v>
      </c>
    </row>
    <row r="1664" spans="1:11" x14ac:dyDescent="0.2">
      <c r="A1664" t="s">
        <v>382</v>
      </c>
      <c r="B1664" t="s">
        <v>2113</v>
      </c>
      <c r="C1664" t="s">
        <v>5680</v>
      </c>
      <c r="D1664" t="s">
        <v>5681</v>
      </c>
      <c r="E1664" t="s">
        <v>158</v>
      </c>
      <c r="F1664" t="s">
        <v>12</v>
      </c>
      <c r="G1664" t="s">
        <v>12</v>
      </c>
      <c r="H1664">
        <f>2062*(1.01^10)</f>
        <v>2277.7308225979041</v>
      </c>
      <c r="I1664">
        <f>8573*(1.01^10)</f>
        <v>9469.9254811502578</v>
      </c>
      <c r="J1664" t="s">
        <v>5682</v>
      </c>
      <c r="K1664">
        <f t="shared" si="25"/>
        <v>18.077277358188343</v>
      </c>
    </row>
    <row r="1665" spans="1:11" x14ac:dyDescent="0.2">
      <c r="A1665" t="s">
        <v>382</v>
      </c>
      <c r="B1665" t="s">
        <v>2113</v>
      </c>
      <c r="C1665" t="s">
        <v>5683</v>
      </c>
      <c r="D1665" t="s">
        <v>5684</v>
      </c>
      <c r="E1665" t="s">
        <v>108</v>
      </c>
      <c r="F1665" t="s">
        <v>17</v>
      </c>
      <c r="G1665" t="s">
        <v>24</v>
      </c>
      <c r="H1665">
        <f>868*(1.01^10)</f>
        <v>958.81200485692568</v>
      </c>
      <c r="I1665">
        <f>3293*(1.01^10)</f>
        <v>3637.5206589790973</v>
      </c>
      <c r="J1665" t="s">
        <v>5685</v>
      </c>
      <c r="K1665">
        <f t="shared" si="25"/>
        <v>6.9172094037060941</v>
      </c>
    </row>
    <row r="1666" spans="1:11" x14ac:dyDescent="0.2">
      <c r="A1666" t="s">
        <v>382</v>
      </c>
      <c r="B1666" t="s">
        <v>2113</v>
      </c>
      <c r="C1666" t="s">
        <v>5686</v>
      </c>
      <c r="D1666" t="s">
        <v>5687</v>
      </c>
      <c r="E1666" t="s">
        <v>458</v>
      </c>
      <c r="F1666" t="s">
        <v>24</v>
      </c>
      <c r="G1666" t="s">
        <v>24</v>
      </c>
      <c r="H1666">
        <f>873*(1.01^10)</f>
        <v>964.33511548398178</v>
      </c>
      <c r="I1666">
        <f>4445*(1.01^10)</f>
        <v>4910.0453474528049</v>
      </c>
      <c r="J1666" t="s">
        <v>5688</v>
      </c>
      <c r="K1666">
        <f t="shared" si="25"/>
        <v>22.936496815403203</v>
      </c>
    </row>
    <row r="1667" spans="1:11" x14ac:dyDescent="0.2">
      <c r="A1667" t="s">
        <v>382</v>
      </c>
      <c r="B1667" t="s">
        <v>2113</v>
      </c>
      <c r="C1667" t="s">
        <v>5689</v>
      </c>
      <c r="D1667" t="s">
        <v>5690</v>
      </c>
      <c r="E1667" t="s">
        <v>318</v>
      </c>
      <c r="F1667" t="s">
        <v>11</v>
      </c>
      <c r="G1667" t="s">
        <v>24</v>
      </c>
      <c r="H1667">
        <f>1161*(1.01^10)</f>
        <v>1282.4662876024088</v>
      </c>
      <c r="I1667">
        <f>6260*(1.01^10)</f>
        <v>6914.9345050741413</v>
      </c>
      <c r="J1667" t="s">
        <v>5691</v>
      </c>
      <c r="K1667">
        <f t="shared" ref="K1667:K1730" si="26">I1667/J1667</f>
        <v>11.790442845337523</v>
      </c>
    </row>
    <row r="1668" spans="1:11" x14ac:dyDescent="0.2">
      <c r="A1668" t="s">
        <v>382</v>
      </c>
      <c r="B1668" t="s">
        <v>2113</v>
      </c>
      <c r="C1668" t="s">
        <v>5692</v>
      </c>
      <c r="D1668" t="s">
        <v>5693</v>
      </c>
      <c r="E1668" t="s">
        <v>5</v>
      </c>
      <c r="F1668" t="s">
        <v>24</v>
      </c>
      <c r="G1668" t="s">
        <v>24</v>
      </c>
      <c r="H1668">
        <f>226*(1.01^10)</f>
        <v>249.64460034293228</v>
      </c>
      <c r="I1668">
        <f>1360*(1.01^10)</f>
        <v>1502.2860905592383</v>
      </c>
      <c r="J1668" t="s">
        <v>5694</v>
      </c>
      <c r="K1668">
        <f t="shared" si="26"/>
        <v>13.049726954242542</v>
      </c>
    </row>
    <row r="1669" spans="1:11" x14ac:dyDescent="0.2">
      <c r="A1669" t="s">
        <v>382</v>
      </c>
      <c r="B1669" t="s">
        <v>2113</v>
      </c>
      <c r="C1669" t="s">
        <v>5695</v>
      </c>
      <c r="D1669" t="s">
        <v>5696</v>
      </c>
      <c r="E1669" t="s">
        <v>152</v>
      </c>
      <c r="F1669" t="s">
        <v>24</v>
      </c>
      <c r="G1669" t="s">
        <v>24</v>
      </c>
      <c r="H1669">
        <f>554*(1.01^10)</f>
        <v>611.96065747780744</v>
      </c>
      <c r="I1669">
        <f>2944*(1.01^10)</f>
        <v>3252.0075372105866</v>
      </c>
      <c r="J1669" t="s">
        <v>5697</v>
      </c>
      <c r="K1669">
        <f t="shared" si="26"/>
        <v>10.99227479390454</v>
      </c>
    </row>
    <row r="1670" spans="1:11" x14ac:dyDescent="0.2">
      <c r="A1670" t="s">
        <v>382</v>
      </c>
      <c r="B1670" t="s">
        <v>1417</v>
      </c>
      <c r="C1670" t="s">
        <v>5698</v>
      </c>
      <c r="D1670" t="s">
        <v>5699</v>
      </c>
      <c r="E1670" t="s">
        <v>318</v>
      </c>
      <c r="F1670" t="s">
        <v>12</v>
      </c>
      <c r="G1670" t="s">
        <v>24</v>
      </c>
      <c r="H1670">
        <f>572*(1.01^10)</f>
        <v>631.8438557352091</v>
      </c>
      <c r="I1670">
        <f>3012*(1.01^10)</f>
        <v>3327.1218417385485</v>
      </c>
      <c r="J1670" t="s">
        <v>5701</v>
      </c>
      <c r="K1670">
        <f t="shared" si="26"/>
        <v>24.231888505368612</v>
      </c>
    </row>
    <row r="1671" spans="1:11" x14ac:dyDescent="0.2">
      <c r="A1671" t="s">
        <v>382</v>
      </c>
      <c r="B1671" t="s">
        <v>1417</v>
      </c>
      <c r="C1671" t="s">
        <v>5702</v>
      </c>
      <c r="D1671" t="s">
        <v>5703</v>
      </c>
      <c r="E1671" t="s">
        <v>356</v>
      </c>
      <c r="F1671" t="s">
        <v>12</v>
      </c>
      <c r="G1671" t="s">
        <v>24</v>
      </c>
      <c r="H1671">
        <f>496*(1.01^10)</f>
        <v>547.89257420395757</v>
      </c>
      <c r="I1671">
        <f>2793*(1.01^10)</f>
        <v>3085.2095962734948</v>
      </c>
      <c r="J1671" t="s">
        <v>5705</v>
      </c>
      <c r="K1671">
        <f t="shared" si="26"/>
        <v>33.959866061953846</v>
      </c>
    </row>
    <row r="1672" spans="1:11" x14ac:dyDescent="0.2">
      <c r="A1672" t="s">
        <v>382</v>
      </c>
      <c r="B1672" t="s">
        <v>1417</v>
      </c>
      <c r="C1672" t="s">
        <v>5706</v>
      </c>
      <c r="D1672" t="s">
        <v>5707</v>
      </c>
      <c r="E1672" t="s">
        <v>3122</v>
      </c>
      <c r="F1672" t="s">
        <v>11</v>
      </c>
      <c r="G1672" t="s">
        <v>12</v>
      </c>
      <c r="H1672">
        <f>2944*(1.01^10)</f>
        <v>3252.0075372105866</v>
      </c>
      <c r="I1672">
        <f>13731*(1.01^10)</f>
        <v>15167.566404021252</v>
      </c>
      <c r="J1672" t="s">
        <v>5708</v>
      </c>
      <c r="K1672">
        <f t="shared" si="26"/>
        <v>43.650621715636937</v>
      </c>
    </row>
    <row r="1673" spans="1:11" x14ac:dyDescent="0.2">
      <c r="A1673" t="s">
        <v>382</v>
      </c>
      <c r="B1673" t="s">
        <v>1417</v>
      </c>
      <c r="C1673" t="s">
        <v>5709</v>
      </c>
      <c r="D1673" t="s">
        <v>5710</v>
      </c>
      <c r="E1673" t="s">
        <v>411</v>
      </c>
      <c r="F1673" t="s">
        <v>24</v>
      </c>
      <c r="G1673" t="s">
        <v>24</v>
      </c>
      <c r="H1673">
        <f>774*(1.01^10)</f>
        <v>854.97752506827248</v>
      </c>
      <c r="I1673">
        <f>3875*(1.01^10)</f>
        <v>4280.4107359684185</v>
      </c>
      <c r="J1673" t="s">
        <v>5711</v>
      </c>
      <c r="K1673">
        <f t="shared" si="26"/>
        <v>72.28665335133087</v>
      </c>
    </row>
    <row r="1674" spans="1:11" x14ac:dyDescent="0.2">
      <c r="A1674" t="s">
        <v>382</v>
      </c>
      <c r="B1674" t="s">
        <v>1417</v>
      </c>
      <c r="C1674" t="s">
        <v>5712</v>
      </c>
      <c r="D1674" t="s">
        <v>5713</v>
      </c>
      <c r="E1674" t="s">
        <v>411</v>
      </c>
      <c r="F1674" t="s">
        <v>92</v>
      </c>
      <c r="G1674" t="s">
        <v>24</v>
      </c>
      <c r="H1674">
        <f>569*(1.01^10)</f>
        <v>628.52998935897551</v>
      </c>
      <c r="I1674">
        <f>2632*(1.01^10)</f>
        <v>2907.3654340822909</v>
      </c>
      <c r="J1674" t="s">
        <v>5715</v>
      </c>
      <c r="K1674">
        <f t="shared" si="26"/>
        <v>11.47595817286734</v>
      </c>
    </row>
    <row r="1675" spans="1:11" x14ac:dyDescent="0.2">
      <c r="A1675" t="s">
        <v>382</v>
      </c>
      <c r="B1675" t="s">
        <v>1417</v>
      </c>
      <c r="C1675" t="s">
        <v>5716</v>
      </c>
      <c r="D1675" t="s">
        <v>5717</v>
      </c>
      <c r="E1675" t="s">
        <v>158</v>
      </c>
      <c r="F1675" t="s">
        <v>24</v>
      </c>
      <c r="G1675" t="s">
        <v>24</v>
      </c>
      <c r="H1675">
        <f>132*(1.01^10)</f>
        <v>145.81012055427902</v>
      </c>
      <c r="I1675">
        <f>715*(1.01^10)</f>
        <v>789.80481966901141</v>
      </c>
      <c r="J1675" t="s">
        <v>5718</v>
      </c>
      <c r="K1675">
        <f t="shared" si="26"/>
        <v>11.62189183896999</v>
      </c>
    </row>
    <row r="1676" spans="1:11" x14ac:dyDescent="0.2">
      <c r="A1676" t="s">
        <v>382</v>
      </c>
      <c r="B1676" t="s">
        <v>1417</v>
      </c>
      <c r="C1676" t="s">
        <v>5719</v>
      </c>
      <c r="D1676" t="s">
        <v>5720</v>
      </c>
      <c r="E1676" t="s">
        <v>158</v>
      </c>
      <c r="F1676" t="s">
        <v>24</v>
      </c>
      <c r="G1676" t="s">
        <v>24</v>
      </c>
      <c r="H1676">
        <f>146*(1.01^10)</f>
        <v>161.2748303100359</v>
      </c>
      <c r="I1676">
        <f>757*(1.01^10)</f>
        <v>836.19894893628202</v>
      </c>
      <c r="J1676" t="s">
        <v>5721</v>
      </c>
      <c r="K1676">
        <f t="shared" si="26"/>
        <v>16.834702523518811</v>
      </c>
    </row>
    <row r="1677" spans="1:11" x14ac:dyDescent="0.2">
      <c r="A1677" t="s">
        <v>382</v>
      </c>
      <c r="B1677" t="s">
        <v>1417</v>
      </c>
      <c r="C1677" t="s">
        <v>5722</v>
      </c>
      <c r="D1677" t="s">
        <v>5723</v>
      </c>
      <c r="E1677" t="s">
        <v>61</v>
      </c>
      <c r="F1677" t="s">
        <v>24</v>
      </c>
      <c r="G1677" t="s">
        <v>24</v>
      </c>
      <c r="H1677">
        <f>758*(1.01^10)</f>
        <v>837.30357106169322</v>
      </c>
      <c r="I1677">
        <f>3636*(1.01^10)</f>
        <v>4016.4060479951404</v>
      </c>
      <c r="J1677" t="s">
        <v>5724</v>
      </c>
      <c r="K1677">
        <f t="shared" si="26"/>
        <v>25.743818059480574</v>
      </c>
    </row>
    <row r="1678" spans="1:11" x14ac:dyDescent="0.2">
      <c r="A1678" t="s">
        <v>382</v>
      </c>
      <c r="B1678" t="s">
        <v>1417</v>
      </c>
      <c r="C1678" t="s">
        <v>5725</v>
      </c>
      <c r="D1678" t="s">
        <v>5726</v>
      </c>
      <c r="E1678" t="s">
        <v>44</v>
      </c>
      <c r="F1678" t="s">
        <v>12</v>
      </c>
      <c r="G1678" t="s">
        <v>24</v>
      </c>
      <c r="H1678">
        <f>273*(1.01^10)</f>
        <v>301.56184023725888</v>
      </c>
      <c r="I1678">
        <f>1344*(1.01^10)</f>
        <v>1484.6121365526592</v>
      </c>
      <c r="J1678" t="s">
        <v>5727</v>
      </c>
      <c r="K1678">
        <f t="shared" si="26"/>
        <v>2.5832630754262458</v>
      </c>
    </row>
    <row r="1679" spans="1:11" x14ac:dyDescent="0.2">
      <c r="A1679" t="s">
        <v>382</v>
      </c>
      <c r="B1679" t="s">
        <v>1417</v>
      </c>
      <c r="C1679" t="s">
        <v>5728</v>
      </c>
      <c r="D1679" t="s">
        <v>5729</v>
      </c>
      <c r="E1679" t="s">
        <v>458</v>
      </c>
      <c r="F1679" t="s">
        <v>12</v>
      </c>
      <c r="G1679" t="s">
        <v>12</v>
      </c>
      <c r="H1679">
        <f>2310*(1.01^10)</f>
        <v>2551.6771096998827</v>
      </c>
      <c r="I1679">
        <f>9804*(1.01^10)</f>
        <v>10829.715317531451</v>
      </c>
      <c r="J1679" t="s">
        <v>5730</v>
      </c>
      <c r="K1679">
        <f t="shared" si="26"/>
        <v>72.135341526747098</v>
      </c>
    </row>
    <row r="1680" spans="1:11" x14ac:dyDescent="0.2">
      <c r="A1680" t="s">
        <v>382</v>
      </c>
      <c r="B1680" t="s">
        <v>1417</v>
      </c>
      <c r="C1680" t="s">
        <v>5731</v>
      </c>
      <c r="D1680" t="s">
        <v>5732</v>
      </c>
      <c r="E1680" t="s">
        <v>318</v>
      </c>
      <c r="F1680" t="s">
        <v>24</v>
      </c>
      <c r="G1680" t="s">
        <v>24</v>
      </c>
      <c r="H1680">
        <f>807*(1.01^10)</f>
        <v>891.43005520684221</v>
      </c>
      <c r="I1680">
        <f>4438*(1.01^10)</f>
        <v>4902.3129925749263</v>
      </c>
      <c r="J1680" t="s">
        <v>5733</v>
      </c>
      <c r="K1680">
        <f t="shared" si="26"/>
        <v>7.9185978516339546</v>
      </c>
    </row>
    <row r="1681" spans="1:11" x14ac:dyDescent="0.2">
      <c r="A1681" t="s">
        <v>382</v>
      </c>
      <c r="B1681" t="s">
        <v>1417</v>
      </c>
      <c r="C1681" t="s">
        <v>5734</v>
      </c>
      <c r="D1681" t="s">
        <v>5735</v>
      </c>
      <c r="E1681" t="s">
        <v>674</v>
      </c>
      <c r="F1681" t="s">
        <v>11</v>
      </c>
      <c r="G1681" t="s">
        <v>12</v>
      </c>
      <c r="H1681">
        <f>5336*(1.01^10)</f>
        <v>5894.2636611941889</v>
      </c>
      <c r="I1681">
        <f>25921*(1.01^10)</f>
        <v>28632.910112783837</v>
      </c>
      <c r="J1681" t="s">
        <v>5736</v>
      </c>
      <c r="K1681">
        <f t="shared" si="26"/>
        <v>16.68589783878981</v>
      </c>
    </row>
    <row r="1682" spans="1:11" x14ac:dyDescent="0.2">
      <c r="A1682" t="s">
        <v>382</v>
      </c>
      <c r="B1682" t="s">
        <v>1417</v>
      </c>
      <c r="C1682" t="s">
        <v>5737</v>
      </c>
      <c r="D1682" t="s">
        <v>5738</v>
      </c>
      <c r="E1682" t="s">
        <v>1656</v>
      </c>
      <c r="F1682" t="s">
        <v>24</v>
      </c>
      <c r="G1682" t="s">
        <v>24</v>
      </c>
      <c r="H1682">
        <f>2837*(1.01^10)</f>
        <v>3133.8129697915879</v>
      </c>
      <c r="I1682">
        <f>14516*(1.01^10)</f>
        <v>16034.694772469049</v>
      </c>
      <c r="J1682" t="s">
        <v>5739</v>
      </c>
      <c r="K1682">
        <f t="shared" si="26"/>
        <v>221.03950381708543</v>
      </c>
    </row>
    <row r="1683" spans="1:11" x14ac:dyDescent="0.2">
      <c r="A1683" t="s">
        <v>382</v>
      </c>
      <c r="B1683" t="s">
        <v>1417</v>
      </c>
      <c r="C1683" t="s">
        <v>5740</v>
      </c>
      <c r="D1683" t="s">
        <v>5741</v>
      </c>
      <c r="E1683" t="s">
        <v>374</v>
      </c>
      <c r="F1683" t="s">
        <v>24</v>
      </c>
      <c r="G1683" t="s">
        <v>24</v>
      </c>
      <c r="H1683">
        <f>5949*(1.01^10)</f>
        <v>6571.397024071257</v>
      </c>
      <c r="I1683">
        <f>32007*(1.01^10)</f>
        <v>35355.640368036431</v>
      </c>
      <c r="J1683" t="s">
        <v>5742</v>
      </c>
      <c r="K1683">
        <f t="shared" si="26"/>
        <v>197.08171464961691</v>
      </c>
    </row>
    <row r="1684" spans="1:11" x14ac:dyDescent="0.2">
      <c r="A1684" t="s">
        <v>382</v>
      </c>
      <c r="B1684" t="s">
        <v>1417</v>
      </c>
      <c r="C1684" t="s">
        <v>5743</v>
      </c>
      <c r="D1684" t="s">
        <v>5744</v>
      </c>
      <c r="E1684" t="s">
        <v>176</v>
      </c>
      <c r="F1684" t="s">
        <v>24</v>
      </c>
      <c r="G1684" t="s">
        <v>24</v>
      </c>
      <c r="H1684">
        <f>5618*(1.01^10)</f>
        <v>6205.7671005601487</v>
      </c>
      <c r="I1684">
        <f>29045*(1.01^10)</f>
        <v>32083.749632568441</v>
      </c>
      <c r="J1684" t="s">
        <v>5745</v>
      </c>
      <c r="K1684">
        <f t="shared" si="26"/>
        <v>170.37444944437348</v>
      </c>
    </row>
    <row r="1685" spans="1:11" x14ac:dyDescent="0.2">
      <c r="A1685" t="s">
        <v>382</v>
      </c>
      <c r="B1685" t="s">
        <v>2484</v>
      </c>
      <c r="C1685" t="s">
        <v>5746</v>
      </c>
      <c r="D1685" t="s">
        <v>5747</v>
      </c>
      <c r="E1685" t="s">
        <v>356</v>
      </c>
      <c r="F1685" t="s">
        <v>12</v>
      </c>
      <c r="G1685" t="s">
        <v>12</v>
      </c>
      <c r="H1685">
        <f>2521*(1.01^10)</f>
        <v>2784.7523781616474</v>
      </c>
      <c r="I1685">
        <f>11458*(1.01^10)</f>
        <v>12656.760312961584</v>
      </c>
      <c r="J1685" t="s">
        <v>5748</v>
      </c>
      <c r="K1685">
        <f t="shared" si="26"/>
        <v>40.717521335051984</v>
      </c>
    </row>
    <row r="1686" spans="1:11" x14ac:dyDescent="0.2">
      <c r="A1686" t="s">
        <v>382</v>
      </c>
      <c r="B1686" t="s">
        <v>2484</v>
      </c>
      <c r="C1686" t="s">
        <v>5749</v>
      </c>
      <c r="D1686" t="s">
        <v>5750</v>
      </c>
      <c r="E1686" t="s">
        <v>382</v>
      </c>
      <c r="F1686" t="s">
        <v>24</v>
      </c>
      <c r="G1686" t="s">
        <v>24</v>
      </c>
      <c r="H1686">
        <f>626*(1.01^10)</f>
        <v>691.4934505074142</v>
      </c>
      <c r="I1686">
        <f>3082*(1.01^10)</f>
        <v>3404.4453905173332</v>
      </c>
      <c r="J1686" t="s">
        <v>5751</v>
      </c>
      <c r="K1686">
        <f t="shared" si="26"/>
        <v>34.303341366269805</v>
      </c>
    </row>
    <row r="1687" spans="1:11" x14ac:dyDescent="0.2">
      <c r="A1687" t="s">
        <v>382</v>
      </c>
      <c r="B1687" t="s">
        <v>2484</v>
      </c>
      <c r="C1687" t="s">
        <v>5752</v>
      </c>
      <c r="D1687" t="s">
        <v>5753</v>
      </c>
      <c r="E1687" t="s">
        <v>126</v>
      </c>
      <c r="F1687" t="s">
        <v>24</v>
      </c>
      <c r="G1687" t="s">
        <v>12</v>
      </c>
      <c r="H1687">
        <f>5355*(1.01^10)</f>
        <v>5915.2514815770019</v>
      </c>
      <c r="I1687">
        <f>26295*(1.01^10)</f>
        <v>29046.03878768763</v>
      </c>
      <c r="J1687" t="s">
        <v>5754</v>
      </c>
      <c r="K1687">
        <f t="shared" si="26"/>
        <v>53.26082548836078</v>
      </c>
    </row>
    <row r="1688" spans="1:11" x14ac:dyDescent="0.2">
      <c r="A1688" t="s">
        <v>382</v>
      </c>
      <c r="B1688" t="s">
        <v>2484</v>
      </c>
      <c r="C1688" t="s">
        <v>5755</v>
      </c>
      <c r="D1688" t="s">
        <v>5756</v>
      </c>
      <c r="E1688" t="s">
        <v>405</v>
      </c>
      <c r="F1688" t="s">
        <v>24</v>
      </c>
      <c r="G1688" t="s">
        <v>24</v>
      </c>
      <c r="H1688">
        <f>839*(1.01^10)</f>
        <v>926.77796322000074</v>
      </c>
      <c r="I1688">
        <f>5074*(1.01^10)</f>
        <v>5604.852664336453</v>
      </c>
      <c r="J1688" t="s">
        <v>5757</v>
      </c>
      <c r="K1688">
        <f t="shared" si="26"/>
        <v>104.76127485233178</v>
      </c>
    </row>
    <row r="1689" spans="1:11" x14ac:dyDescent="0.2">
      <c r="A1689" t="s">
        <v>382</v>
      </c>
      <c r="B1689" t="s">
        <v>2484</v>
      </c>
      <c r="C1689" t="s">
        <v>5758</v>
      </c>
      <c r="D1689" t="s">
        <v>5759</v>
      </c>
      <c r="E1689" t="s">
        <v>274</v>
      </c>
      <c r="F1689" t="s">
        <v>24</v>
      </c>
      <c r="G1689" t="s">
        <v>24</v>
      </c>
      <c r="H1689">
        <f>1329*(1.01^10)</f>
        <v>1468.042804671491</v>
      </c>
      <c r="I1689">
        <f>7152*(1.01^10)</f>
        <v>7900.2574409409362</v>
      </c>
      <c r="J1689" t="s">
        <v>5760</v>
      </c>
      <c r="K1689">
        <f t="shared" si="26"/>
        <v>57.598490879334939</v>
      </c>
    </row>
    <row r="1690" spans="1:11" x14ac:dyDescent="0.2">
      <c r="A1690" t="s">
        <v>382</v>
      </c>
      <c r="B1690" t="s">
        <v>2484</v>
      </c>
      <c r="C1690" t="s">
        <v>5761</v>
      </c>
      <c r="D1690" t="s">
        <v>5762</v>
      </c>
      <c r="E1690" t="s">
        <v>411</v>
      </c>
      <c r="F1690" t="s">
        <v>24</v>
      </c>
      <c r="G1690" t="s">
        <v>24</v>
      </c>
      <c r="H1690">
        <f>935*(1.01^10)</f>
        <v>1032.8216872594764</v>
      </c>
      <c r="I1690">
        <f>4946*(1.01^10)</f>
        <v>5463.4610322838189</v>
      </c>
      <c r="J1690" t="s">
        <v>5763</v>
      </c>
      <c r="K1690">
        <f t="shared" si="26"/>
        <v>43.166264529440873</v>
      </c>
    </row>
    <row r="1691" spans="1:11" x14ac:dyDescent="0.2">
      <c r="A1691" t="s">
        <v>382</v>
      </c>
      <c r="B1691" t="s">
        <v>2484</v>
      </c>
      <c r="C1691" t="s">
        <v>5764</v>
      </c>
      <c r="D1691" t="s">
        <v>5765</v>
      </c>
      <c r="E1691" t="s">
        <v>318</v>
      </c>
      <c r="F1691" t="s">
        <v>24</v>
      </c>
      <c r="G1691" t="s">
        <v>12</v>
      </c>
      <c r="H1691">
        <f>2924*(1.01^10)</f>
        <v>3229.9150947023627</v>
      </c>
      <c r="I1691">
        <f>16897*(1.01^10)</f>
        <v>18664.800053073126</v>
      </c>
      <c r="J1691" t="s">
        <v>5766</v>
      </c>
      <c r="K1691">
        <f t="shared" si="26"/>
        <v>80.017006605241576</v>
      </c>
    </row>
    <row r="1692" spans="1:11" x14ac:dyDescent="0.2">
      <c r="A1692" t="s">
        <v>382</v>
      </c>
      <c r="B1692" t="s">
        <v>2484</v>
      </c>
      <c r="C1692" t="s">
        <v>5767</v>
      </c>
      <c r="D1692" t="s">
        <v>5768</v>
      </c>
      <c r="E1692" t="s">
        <v>92</v>
      </c>
      <c r="F1692" t="s">
        <v>24</v>
      </c>
      <c r="G1692" t="s">
        <v>24</v>
      </c>
      <c r="H1692">
        <f>705*(1.01^10)</f>
        <v>778.75859841489932</v>
      </c>
      <c r="I1692">
        <f>4934*(1.01^10)</f>
        <v>5450.2055667788845</v>
      </c>
      <c r="J1692" t="s">
        <v>5769</v>
      </c>
      <c r="K1692">
        <f t="shared" si="26"/>
        <v>42.160532629301478</v>
      </c>
    </row>
    <row r="1693" spans="1:11" x14ac:dyDescent="0.2">
      <c r="A1693" t="s">
        <v>382</v>
      </c>
      <c r="B1693" t="s">
        <v>2484</v>
      </c>
      <c r="C1693" t="s">
        <v>5770</v>
      </c>
      <c r="D1693" t="s">
        <v>5771</v>
      </c>
      <c r="E1693" t="s">
        <v>458</v>
      </c>
      <c r="F1693" t="s">
        <v>24</v>
      </c>
      <c r="G1693" t="s">
        <v>24</v>
      </c>
      <c r="H1693">
        <f>1786*(1.01^10)</f>
        <v>1972.8551159844117</v>
      </c>
      <c r="I1693">
        <f>11808*(1.01^10)</f>
        <v>13043.378056855505</v>
      </c>
      <c r="J1693" t="s">
        <v>5772</v>
      </c>
      <c r="K1693">
        <f t="shared" si="26"/>
        <v>62.14978953311175</v>
      </c>
    </row>
    <row r="1694" spans="1:11" x14ac:dyDescent="0.2">
      <c r="A1694" t="s">
        <v>382</v>
      </c>
      <c r="B1694" t="s">
        <v>2484</v>
      </c>
      <c r="C1694" t="s">
        <v>5773</v>
      </c>
      <c r="D1694" t="s">
        <v>5774</v>
      </c>
      <c r="E1694" t="s">
        <v>458</v>
      </c>
      <c r="F1694" t="s">
        <v>24</v>
      </c>
      <c r="G1694" t="s">
        <v>24</v>
      </c>
      <c r="H1694">
        <f>1747*(1.01^10)</f>
        <v>1929.7748530933748</v>
      </c>
      <c r="I1694">
        <f>11216*(1.01^10)</f>
        <v>12389.441758612073</v>
      </c>
      <c r="J1694" t="s">
        <v>5775</v>
      </c>
      <c r="K1694">
        <f t="shared" si="26"/>
        <v>50.859112948355111</v>
      </c>
    </row>
    <row r="1695" spans="1:11" x14ac:dyDescent="0.2">
      <c r="A1695" t="s">
        <v>382</v>
      </c>
      <c r="B1695" t="s">
        <v>2484</v>
      </c>
      <c r="C1695" t="s">
        <v>5776</v>
      </c>
      <c r="D1695" t="s">
        <v>5777</v>
      </c>
      <c r="E1695" t="s">
        <v>356</v>
      </c>
      <c r="F1695" t="s">
        <v>24</v>
      </c>
      <c r="G1695" t="s">
        <v>24</v>
      </c>
      <c r="H1695">
        <f>1844*(1.01^10)</f>
        <v>2036.9231992582615</v>
      </c>
      <c r="I1695">
        <f>9113*(1.01^10)</f>
        <v>10066.421428872309</v>
      </c>
      <c r="J1695" t="s">
        <v>5778</v>
      </c>
      <c r="K1695">
        <f t="shared" si="26"/>
        <v>36.830064103535122</v>
      </c>
    </row>
    <row r="1696" spans="1:11" x14ac:dyDescent="0.2">
      <c r="A1696" t="s">
        <v>382</v>
      </c>
      <c r="B1696" t="s">
        <v>2346</v>
      </c>
      <c r="C1696" t="s">
        <v>5779</v>
      </c>
      <c r="D1696" t="s">
        <v>5780</v>
      </c>
      <c r="E1696" t="s">
        <v>1233</v>
      </c>
      <c r="F1696" t="s">
        <v>152</v>
      </c>
      <c r="G1696" t="s">
        <v>12</v>
      </c>
      <c r="H1696">
        <f>4835*(1.01^10)</f>
        <v>5340.8479763631749</v>
      </c>
      <c r="I1696">
        <f>22747*(1.01^10)</f>
        <v>25126.839486728673</v>
      </c>
      <c r="J1696" t="s">
        <v>5781</v>
      </c>
      <c r="K1696">
        <f t="shared" si="26"/>
        <v>84.696825010665705</v>
      </c>
    </row>
    <row r="1697" spans="1:11" x14ac:dyDescent="0.2">
      <c r="A1697" t="s">
        <v>382</v>
      </c>
      <c r="B1697" t="s">
        <v>2346</v>
      </c>
      <c r="C1697" t="s">
        <v>5782</v>
      </c>
      <c r="D1697" t="s">
        <v>5783</v>
      </c>
      <c r="E1697" t="s">
        <v>1101</v>
      </c>
      <c r="F1697" t="s">
        <v>92</v>
      </c>
      <c r="G1697" t="s">
        <v>24</v>
      </c>
      <c r="H1697">
        <f>3274*(1.01^10)</f>
        <v>3616.5328385962844</v>
      </c>
      <c r="I1697">
        <f>19605*(1.01^10)</f>
        <v>21656.116768686668</v>
      </c>
      <c r="J1697" t="s">
        <v>5784</v>
      </c>
      <c r="K1697">
        <f t="shared" si="26"/>
        <v>122.42661541875843</v>
      </c>
    </row>
    <row r="1698" spans="1:11" x14ac:dyDescent="0.2">
      <c r="A1698" t="s">
        <v>382</v>
      </c>
      <c r="B1698" t="s">
        <v>2346</v>
      </c>
      <c r="C1698" t="s">
        <v>5785</v>
      </c>
      <c r="D1698" t="s">
        <v>5786</v>
      </c>
      <c r="E1698" t="s">
        <v>164</v>
      </c>
      <c r="F1698" t="s">
        <v>12</v>
      </c>
      <c r="G1698" t="s">
        <v>24</v>
      </c>
      <c r="H1698">
        <f>1536*(1.01^10)</f>
        <v>1696.6995846316104</v>
      </c>
      <c r="I1698">
        <f>8566*(1.01^10)</f>
        <v>9462.1931262723792</v>
      </c>
      <c r="J1698" t="s">
        <v>5787</v>
      </c>
      <c r="K1698">
        <f t="shared" si="26"/>
        <v>16.677598375458352</v>
      </c>
    </row>
    <row r="1699" spans="1:11" x14ac:dyDescent="0.2">
      <c r="A1699" t="s">
        <v>382</v>
      </c>
      <c r="B1699" t="s">
        <v>2346</v>
      </c>
      <c r="C1699" t="s">
        <v>5788</v>
      </c>
      <c r="D1699" t="s">
        <v>5789</v>
      </c>
      <c r="E1699" t="s">
        <v>232</v>
      </c>
      <c r="F1699" t="s">
        <v>11</v>
      </c>
      <c r="G1699" t="s">
        <v>24</v>
      </c>
      <c r="H1699">
        <f>1911*(1.01^10)</f>
        <v>2110.9328816608122</v>
      </c>
      <c r="I1699">
        <f>9663*(1.01^10)</f>
        <v>10673.963597848471</v>
      </c>
      <c r="J1699" t="s">
        <v>5790</v>
      </c>
      <c r="K1699">
        <f t="shared" si="26"/>
        <v>23.553943961106345</v>
      </c>
    </row>
    <row r="1700" spans="1:11" x14ac:dyDescent="0.2">
      <c r="A1700" t="s">
        <v>382</v>
      </c>
      <c r="B1700" t="s">
        <v>2346</v>
      </c>
      <c r="C1700" t="s">
        <v>5791</v>
      </c>
      <c r="D1700" t="s">
        <v>5792</v>
      </c>
      <c r="E1700" t="s">
        <v>164</v>
      </c>
      <c r="F1700" t="s">
        <v>24</v>
      </c>
      <c r="G1700" t="s">
        <v>24</v>
      </c>
      <c r="H1700">
        <f>1220*(1.01^10)</f>
        <v>1347.6389930016699</v>
      </c>
      <c r="I1700">
        <f>7170*(1.01^10)</f>
        <v>7920.1406391983382</v>
      </c>
      <c r="J1700" t="s">
        <v>5794</v>
      </c>
      <c r="K1700">
        <f t="shared" si="26"/>
        <v>21.774462107527075</v>
      </c>
    </row>
    <row r="1701" spans="1:11" x14ac:dyDescent="0.2">
      <c r="A1701" t="s">
        <v>382</v>
      </c>
      <c r="B1701" t="s">
        <v>2346</v>
      </c>
      <c r="C1701" t="s">
        <v>5795</v>
      </c>
      <c r="D1701" t="s">
        <v>5796</v>
      </c>
      <c r="E1701" t="s">
        <v>1229</v>
      </c>
      <c r="F1701" t="s">
        <v>411</v>
      </c>
      <c r="G1701" t="s">
        <v>24</v>
      </c>
      <c r="H1701">
        <f>1188*(1.01^10)</f>
        <v>1312.2910849885113</v>
      </c>
      <c r="I1701">
        <f>6951*(1.01^10)</f>
        <v>7678.2283937332841</v>
      </c>
      <c r="J1701" t="s">
        <v>5797</v>
      </c>
      <c r="K1701">
        <f t="shared" si="26"/>
        <v>8.0105911349953374</v>
      </c>
    </row>
    <row r="1702" spans="1:11" x14ac:dyDescent="0.2">
      <c r="A1702" t="s">
        <v>382</v>
      </c>
      <c r="B1702" t="s">
        <v>2346</v>
      </c>
      <c r="C1702" t="s">
        <v>5798</v>
      </c>
      <c r="D1702" t="s">
        <v>5799</v>
      </c>
      <c r="E1702" t="s">
        <v>356</v>
      </c>
      <c r="F1702" t="s">
        <v>17</v>
      </c>
      <c r="G1702" t="s">
        <v>24</v>
      </c>
      <c r="H1702">
        <f>479*(1.01^10)</f>
        <v>529.1139980719671</v>
      </c>
      <c r="I1702">
        <f>2944*(1.01^10)</f>
        <v>3252.0075372105866</v>
      </c>
      <c r="J1702" t="s">
        <v>5800</v>
      </c>
      <c r="K1702">
        <f t="shared" si="26"/>
        <v>7.376759138495383</v>
      </c>
    </row>
    <row r="1703" spans="1:11" x14ac:dyDescent="0.2">
      <c r="A1703" t="s">
        <v>382</v>
      </c>
      <c r="B1703" t="s">
        <v>2346</v>
      </c>
      <c r="C1703" t="s">
        <v>5801</v>
      </c>
      <c r="D1703" t="s">
        <v>5802</v>
      </c>
      <c r="E1703" t="s">
        <v>16</v>
      </c>
      <c r="F1703" t="s">
        <v>158</v>
      </c>
      <c r="G1703" t="s">
        <v>24</v>
      </c>
      <c r="H1703">
        <f>806*(1.01^10)</f>
        <v>890.32543308143102</v>
      </c>
      <c r="I1703">
        <f>5384*(1.01^10)</f>
        <v>5947.2855232139264</v>
      </c>
      <c r="J1703" t="s">
        <v>5803</v>
      </c>
      <c r="K1703">
        <f t="shared" si="26"/>
        <v>23.711269779364741</v>
      </c>
    </row>
    <row r="1704" spans="1:11" x14ac:dyDescent="0.2">
      <c r="A1704" t="s">
        <v>382</v>
      </c>
      <c r="B1704" t="s">
        <v>2392</v>
      </c>
      <c r="C1704" t="s">
        <v>5804</v>
      </c>
      <c r="D1704" t="s">
        <v>5805</v>
      </c>
      <c r="E1704" t="s">
        <v>535</v>
      </c>
      <c r="F1704" t="s">
        <v>12</v>
      </c>
      <c r="G1704" t="s">
        <v>24</v>
      </c>
      <c r="H1704">
        <f>1707*(1.01^10)</f>
        <v>1885.5899680769264</v>
      </c>
      <c r="I1704">
        <f>9896*(1.01^10)</f>
        <v>10931.340553069282</v>
      </c>
      <c r="J1704" t="s">
        <v>5806</v>
      </c>
      <c r="K1704">
        <f t="shared" si="26"/>
        <v>38.907652299035995</v>
      </c>
    </row>
    <row r="1705" spans="1:11" x14ac:dyDescent="0.2">
      <c r="A1705" t="s">
        <v>382</v>
      </c>
      <c r="B1705" t="s">
        <v>2392</v>
      </c>
      <c r="C1705" t="s">
        <v>5807</v>
      </c>
      <c r="D1705" t="s">
        <v>5808</v>
      </c>
      <c r="E1705" t="s">
        <v>16</v>
      </c>
      <c r="F1705" t="s">
        <v>24</v>
      </c>
      <c r="G1705" t="s">
        <v>24</v>
      </c>
      <c r="H1705">
        <f>938*(1.01^10)</f>
        <v>1036.13555363571</v>
      </c>
      <c r="I1705">
        <f>6910*(1.01^10)</f>
        <v>7632.9388865914252</v>
      </c>
      <c r="J1705" t="s">
        <v>5809</v>
      </c>
      <c r="K1705">
        <f t="shared" si="26"/>
        <v>50.192872761578386</v>
      </c>
    </row>
    <row r="1706" spans="1:11" x14ac:dyDescent="0.2">
      <c r="A1706" t="s">
        <v>382</v>
      </c>
      <c r="B1706" t="s">
        <v>2392</v>
      </c>
      <c r="C1706" t="s">
        <v>5810</v>
      </c>
      <c r="D1706" t="s">
        <v>5811</v>
      </c>
      <c r="E1706" t="s">
        <v>535</v>
      </c>
      <c r="F1706" t="s">
        <v>11</v>
      </c>
      <c r="G1706" t="s">
        <v>24</v>
      </c>
      <c r="H1706">
        <f>1718*(1.01^10)</f>
        <v>1897.7408114564498</v>
      </c>
      <c r="I1706">
        <f>10832*(1.01^10)</f>
        <v>11965.266862454169</v>
      </c>
      <c r="J1706" t="s">
        <v>5812</v>
      </c>
      <c r="K1706">
        <f t="shared" si="26"/>
        <v>58.391278813652733</v>
      </c>
    </row>
    <row r="1707" spans="1:11" x14ac:dyDescent="0.2">
      <c r="A1707" t="s">
        <v>382</v>
      </c>
      <c r="B1707" t="s">
        <v>2392</v>
      </c>
      <c r="C1707" t="s">
        <v>5813</v>
      </c>
      <c r="D1707" t="s">
        <v>5814</v>
      </c>
      <c r="E1707" t="s">
        <v>176</v>
      </c>
      <c r="F1707" t="s">
        <v>17</v>
      </c>
      <c r="G1707" t="s">
        <v>24</v>
      </c>
      <c r="H1707">
        <f>1134*(1.01^10)</f>
        <v>1252.6414902163062</v>
      </c>
      <c r="I1707">
        <f>6651*(1.01^10)</f>
        <v>7346.8417561099232</v>
      </c>
      <c r="J1707" t="s">
        <v>5815</v>
      </c>
      <c r="K1707">
        <f t="shared" si="26"/>
        <v>26.682932791915015</v>
      </c>
    </row>
    <row r="1708" spans="1:11" x14ac:dyDescent="0.2">
      <c r="A1708" t="s">
        <v>382</v>
      </c>
      <c r="B1708" t="s">
        <v>2392</v>
      </c>
      <c r="C1708" t="s">
        <v>5816</v>
      </c>
      <c r="D1708" t="s">
        <v>5817</v>
      </c>
      <c r="E1708" t="s">
        <v>56</v>
      </c>
      <c r="F1708" t="s">
        <v>12</v>
      </c>
      <c r="G1708" t="s">
        <v>24</v>
      </c>
      <c r="H1708">
        <f>425*(1.01^10)</f>
        <v>469.46440329976201</v>
      </c>
      <c r="I1708">
        <f>2435*(1.01^10)</f>
        <v>2689.7548753762835</v>
      </c>
      <c r="J1708" t="s">
        <v>5818</v>
      </c>
      <c r="K1708">
        <f t="shared" si="26"/>
        <v>9.9523832688169644</v>
      </c>
    </row>
    <row r="1709" spans="1:11" x14ac:dyDescent="0.2">
      <c r="A1709" t="s">
        <v>382</v>
      </c>
      <c r="B1709" t="s">
        <v>2392</v>
      </c>
      <c r="C1709" t="s">
        <v>5819</v>
      </c>
      <c r="D1709" t="s">
        <v>5820</v>
      </c>
      <c r="E1709" t="s">
        <v>232</v>
      </c>
      <c r="F1709" t="s">
        <v>744</v>
      </c>
      <c r="G1709" t="s">
        <v>12</v>
      </c>
      <c r="H1709">
        <f>1377*(1.01^10)</f>
        <v>1521.0646666912289</v>
      </c>
      <c r="I1709">
        <f>7427*(1.01^10)</f>
        <v>8204.0285254290175</v>
      </c>
      <c r="J1709" t="s">
        <v>5822</v>
      </c>
      <c r="K1709">
        <f t="shared" si="26"/>
        <v>23.622202859314566</v>
      </c>
    </row>
    <row r="1710" spans="1:11" x14ac:dyDescent="0.2">
      <c r="A1710" t="s">
        <v>382</v>
      </c>
      <c r="B1710" t="s">
        <v>2392</v>
      </c>
      <c r="C1710" t="s">
        <v>5823</v>
      </c>
      <c r="D1710" t="s">
        <v>5824</v>
      </c>
      <c r="E1710" t="s">
        <v>1027</v>
      </c>
      <c r="F1710" t="s">
        <v>11</v>
      </c>
      <c r="G1710" t="s">
        <v>24</v>
      </c>
      <c r="H1710">
        <f>697*(1.01^10)</f>
        <v>769.92162141160975</v>
      </c>
      <c r="I1710">
        <f>5347*(1.01^10)</f>
        <v>5906.4145045737114</v>
      </c>
      <c r="J1710" t="s">
        <v>5825</v>
      </c>
      <c r="K1710">
        <f t="shared" si="26"/>
        <v>35.317941452867657</v>
      </c>
    </row>
    <row r="1711" spans="1:11" x14ac:dyDescent="0.2">
      <c r="A1711" t="s">
        <v>382</v>
      </c>
      <c r="B1711" t="s">
        <v>2392</v>
      </c>
      <c r="C1711" t="s">
        <v>5826</v>
      </c>
      <c r="D1711" t="s">
        <v>5827</v>
      </c>
      <c r="E1711" t="s">
        <v>998</v>
      </c>
      <c r="F1711" t="s">
        <v>24</v>
      </c>
      <c r="G1711" t="s">
        <v>24</v>
      </c>
      <c r="H1711">
        <f>753*(1.01^10)</f>
        <v>831.78046043463712</v>
      </c>
      <c r="I1711">
        <f>5369*(1.01^10)</f>
        <v>5930.7161913327582</v>
      </c>
      <c r="J1711" t="s">
        <v>5828</v>
      </c>
      <c r="K1711">
        <f t="shared" si="26"/>
        <v>92.74368404398318</v>
      </c>
    </row>
    <row r="1712" spans="1:11" x14ac:dyDescent="0.2">
      <c r="A1712" t="s">
        <v>382</v>
      </c>
      <c r="B1712" t="s">
        <v>2392</v>
      </c>
      <c r="C1712" t="s">
        <v>5829</v>
      </c>
      <c r="D1712" t="s">
        <v>5830</v>
      </c>
      <c r="E1712" t="s">
        <v>103</v>
      </c>
      <c r="F1712" t="s">
        <v>318</v>
      </c>
      <c r="G1712" t="s">
        <v>24</v>
      </c>
      <c r="H1712">
        <f>506*(1.01^10)</f>
        <v>558.93879545806965</v>
      </c>
      <c r="I1712">
        <f>3401*(1.01^10)</f>
        <v>3756.8198485235075</v>
      </c>
      <c r="J1712" t="s">
        <v>5831</v>
      </c>
      <c r="K1712">
        <f t="shared" si="26"/>
        <v>62.798970799146268</v>
      </c>
    </row>
    <row r="1713" spans="1:11" x14ac:dyDescent="0.2">
      <c r="A1713" t="s">
        <v>382</v>
      </c>
      <c r="B1713" t="s">
        <v>2392</v>
      </c>
      <c r="C1713" t="s">
        <v>5832</v>
      </c>
      <c r="D1713" t="s">
        <v>5833</v>
      </c>
      <c r="E1713" t="s">
        <v>142</v>
      </c>
      <c r="F1713" t="s">
        <v>12</v>
      </c>
      <c r="G1713" t="s">
        <v>24</v>
      </c>
      <c r="H1713">
        <f>499*(1.01^10)</f>
        <v>551.20644058019116</v>
      </c>
      <c r="I1713">
        <f>3120*(1.01^10)</f>
        <v>3446.4210312829587</v>
      </c>
      <c r="J1713" t="s">
        <v>5834</v>
      </c>
      <c r="K1713">
        <f t="shared" si="26"/>
        <v>2.9377042748703768</v>
      </c>
    </row>
    <row r="1714" spans="1:11" x14ac:dyDescent="0.2">
      <c r="A1714" t="s">
        <v>382</v>
      </c>
      <c r="B1714" t="s">
        <v>2392</v>
      </c>
      <c r="C1714" t="s">
        <v>5835</v>
      </c>
      <c r="D1714" t="s">
        <v>5836</v>
      </c>
      <c r="E1714" t="s">
        <v>137</v>
      </c>
      <c r="F1714" t="s">
        <v>24</v>
      </c>
      <c r="G1714" t="s">
        <v>24</v>
      </c>
      <c r="H1714">
        <f>1542*(1.01^10)</f>
        <v>1703.3273173840778</v>
      </c>
      <c r="I1714">
        <f>9152*(1.01^10)</f>
        <v>10109.501691763346</v>
      </c>
      <c r="J1714" t="s">
        <v>5837</v>
      </c>
      <c r="K1714">
        <f t="shared" si="26"/>
        <v>26.693863268396743</v>
      </c>
    </row>
    <row r="1715" spans="1:11" x14ac:dyDescent="0.2">
      <c r="A1715" t="s">
        <v>382</v>
      </c>
      <c r="B1715" t="s">
        <v>2392</v>
      </c>
      <c r="C1715" t="s">
        <v>5838</v>
      </c>
      <c r="D1715" t="s">
        <v>5839</v>
      </c>
      <c r="E1715" t="s">
        <v>619</v>
      </c>
      <c r="F1715" t="s">
        <v>24</v>
      </c>
      <c r="G1715" t="s">
        <v>24</v>
      </c>
      <c r="H1715">
        <f>1044*(1.01^10)</f>
        <v>1153.2254989292978</v>
      </c>
      <c r="I1715">
        <f>5755*(1.01^10)</f>
        <v>6357.1003317414834</v>
      </c>
      <c r="J1715" t="s">
        <v>5840</v>
      </c>
      <c r="K1715">
        <f t="shared" si="26"/>
        <v>4.6021876873863325</v>
      </c>
    </row>
    <row r="1716" spans="1:11" x14ac:dyDescent="0.2">
      <c r="A1716" t="s">
        <v>382</v>
      </c>
      <c r="B1716" t="s">
        <v>2392</v>
      </c>
      <c r="C1716" t="s">
        <v>5841</v>
      </c>
      <c r="D1716" t="s">
        <v>5842</v>
      </c>
      <c r="E1716" t="s">
        <v>97</v>
      </c>
      <c r="F1716" t="s">
        <v>17</v>
      </c>
      <c r="G1716" t="s">
        <v>24</v>
      </c>
      <c r="H1716">
        <f>1229*(1.01^10)</f>
        <v>1357.5805921303706</v>
      </c>
      <c r="I1716">
        <f>6788*(1.01^10)</f>
        <v>7498.1749872912578</v>
      </c>
      <c r="J1716" t="s">
        <v>5843</v>
      </c>
      <c r="K1716">
        <f t="shared" si="26"/>
        <v>8.6222555825832679</v>
      </c>
    </row>
    <row r="1717" spans="1:11" x14ac:dyDescent="0.2">
      <c r="A1717" t="s">
        <v>382</v>
      </c>
      <c r="B1717" t="s">
        <v>2392</v>
      </c>
      <c r="C1717" t="s">
        <v>5844</v>
      </c>
      <c r="D1717" t="s">
        <v>5845</v>
      </c>
      <c r="E1717" t="s">
        <v>185</v>
      </c>
      <c r="F1717" t="s">
        <v>24</v>
      </c>
      <c r="G1717" t="s">
        <v>24</v>
      </c>
      <c r="H1717">
        <f>1468*(1.01^10)</f>
        <v>1621.5852801036485</v>
      </c>
      <c r="I1717">
        <f>8993*(1.01^10)</f>
        <v>9933.8667738229651</v>
      </c>
      <c r="J1717" t="s">
        <v>5846</v>
      </c>
      <c r="K1717">
        <f t="shared" si="26"/>
        <v>23.91927120336614</v>
      </c>
    </row>
    <row r="1718" spans="1:11" x14ac:dyDescent="0.2">
      <c r="A1718" t="s">
        <v>382</v>
      </c>
      <c r="B1718" t="s">
        <v>1410</v>
      </c>
      <c r="C1718" t="s">
        <v>5847</v>
      </c>
      <c r="D1718" t="s">
        <v>5848</v>
      </c>
      <c r="E1718" t="s">
        <v>274</v>
      </c>
      <c r="F1718" t="s">
        <v>24</v>
      </c>
      <c r="G1718" t="s">
        <v>24</v>
      </c>
      <c r="H1718">
        <f>107*(1.01^10)</f>
        <v>118.19456741899891</v>
      </c>
      <c r="I1718">
        <f>592*(1.01^10)</f>
        <v>653.93629824343316</v>
      </c>
      <c r="J1718" t="s">
        <v>5849</v>
      </c>
      <c r="K1718">
        <f t="shared" si="26"/>
        <v>0.31079999584980705</v>
      </c>
    </row>
    <row r="1719" spans="1:11" x14ac:dyDescent="0.2">
      <c r="A1719" t="s">
        <v>382</v>
      </c>
      <c r="B1719" t="s">
        <v>1410</v>
      </c>
      <c r="C1719" t="s">
        <v>5850</v>
      </c>
      <c r="D1719" t="s">
        <v>5851</v>
      </c>
      <c r="E1719" t="s">
        <v>789</v>
      </c>
      <c r="F1719" t="s">
        <v>24</v>
      </c>
      <c r="G1719" t="s">
        <v>12</v>
      </c>
      <c r="H1719">
        <f>1116*(1.01^10)</f>
        <v>1232.7582919589045</v>
      </c>
      <c r="I1719">
        <f>4489*(1.01^10)</f>
        <v>4958.6487209708985</v>
      </c>
      <c r="J1719" t="s">
        <v>5852</v>
      </c>
      <c r="K1719">
        <f t="shared" si="26"/>
        <v>2.6799328915958198</v>
      </c>
    </row>
    <row r="1720" spans="1:11" x14ac:dyDescent="0.2">
      <c r="A1720" t="s">
        <v>382</v>
      </c>
      <c r="B1720" t="s">
        <v>1410</v>
      </c>
      <c r="C1720" t="s">
        <v>5853</v>
      </c>
      <c r="D1720" t="s">
        <v>5854</v>
      </c>
      <c r="E1720" t="s">
        <v>520</v>
      </c>
      <c r="F1720" t="s">
        <v>11</v>
      </c>
      <c r="G1720" t="s">
        <v>24</v>
      </c>
      <c r="H1720">
        <f>293*(1.01^10)</f>
        <v>323.65428274548299</v>
      </c>
      <c r="I1720">
        <f>1329*(1.01^10)</f>
        <v>1468.042804671491</v>
      </c>
      <c r="J1720" t="s">
        <v>5855</v>
      </c>
      <c r="K1720">
        <f t="shared" si="26"/>
        <v>0.37437412437753703</v>
      </c>
    </row>
    <row r="1721" spans="1:11" x14ac:dyDescent="0.2">
      <c r="A1721" t="s">
        <v>382</v>
      </c>
      <c r="B1721" t="s">
        <v>1410</v>
      </c>
      <c r="C1721" t="s">
        <v>5856</v>
      </c>
      <c r="D1721" t="s">
        <v>5857</v>
      </c>
      <c r="E1721" t="s">
        <v>411</v>
      </c>
      <c r="F1721" t="s">
        <v>24</v>
      </c>
      <c r="G1721" t="s">
        <v>24</v>
      </c>
      <c r="H1721">
        <f>127*(1.01^10)</f>
        <v>140.28700992722301</v>
      </c>
      <c r="I1721">
        <f>563*(1.01^10)</f>
        <v>621.90225660650822</v>
      </c>
      <c r="J1721" t="s">
        <v>5858</v>
      </c>
      <c r="K1721">
        <f t="shared" si="26"/>
        <v>0.94721444142043798</v>
      </c>
    </row>
    <row r="1722" spans="1:11" x14ac:dyDescent="0.2">
      <c r="A1722" t="s">
        <v>382</v>
      </c>
      <c r="B1722" t="s">
        <v>1410</v>
      </c>
      <c r="C1722" t="s">
        <v>5859</v>
      </c>
      <c r="D1722" t="s">
        <v>5860</v>
      </c>
      <c r="E1722" t="s">
        <v>61</v>
      </c>
      <c r="F1722" t="s">
        <v>92</v>
      </c>
      <c r="G1722" t="s">
        <v>24</v>
      </c>
      <c r="H1722">
        <f>309*(1.01^10)</f>
        <v>341.32823675206225</v>
      </c>
      <c r="I1722">
        <f>1031*(1.01^10)</f>
        <v>1138.865411298952</v>
      </c>
      <c r="J1722" t="s">
        <v>5861</v>
      </c>
      <c r="K1722">
        <f t="shared" si="26"/>
        <v>1.9083350557693857</v>
      </c>
    </row>
    <row r="1723" spans="1:11" x14ac:dyDescent="0.2">
      <c r="A1723" t="s">
        <v>382</v>
      </c>
      <c r="B1723" t="s">
        <v>358</v>
      </c>
      <c r="C1723" t="s">
        <v>5862</v>
      </c>
      <c r="D1723" t="s">
        <v>5863</v>
      </c>
      <c r="E1723" t="s">
        <v>56</v>
      </c>
      <c r="F1723" t="s">
        <v>318</v>
      </c>
      <c r="G1723" t="s">
        <v>24</v>
      </c>
      <c r="H1723">
        <f>357*(1.01^10)</f>
        <v>394.35009877180011</v>
      </c>
      <c r="I1723">
        <f>1383*(1.01^10)</f>
        <v>1527.6923994436961</v>
      </c>
      <c r="J1723" t="s">
        <v>5865</v>
      </c>
      <c r="K1723">
        <f t="shared" si="26"/>
        <v>2.9405538839487075</v>
      </c>
    </row>
    <row r="1724" spans="1:11" x14ac:dyDescent="0.2">
      <c r="A1724" t="s">
        <v>382</v>
      </c>
      <c r="B1724" t="s">
        <v>358</v>
      </c>
      <c r="C1724" t="s">
        <v>5866</v>
      </c>
      <c r="D1724" t="s">
        <v>5867</v>
      </c>
      <c r="E1724" t="s">
        <v>56</v>
      </c>
      <c r="F1724" t="s">
        <v>726</v>
      </c>
      <c r="G1724" t="s">
        <v>24</v>
      </c>
      <c r="H1724">
        <f>183*(1.01^10)</f>
        <v>202.14584895025047</v>
      </c>
      <c r="I1724">
        <f>864*(1.01^10)</f>
        <v>954.39351635528089</v>
      </c>
      <c r="J1724" t="s">
        <v>5868</v>
      </c>
      <c r="K1724">
        <f t="shared" si="26"/>
        <v>0.98154629209771094</v>
      </c>
    </row>
    <row r="1725" spans="1:11" x14ac:dyDescent="0.2">
      <c r="A1725" t="s">
        <v>382</v>
      </c>
      <c r="B1725" t="s">
        <v>358</v>
      </c>
      <c r="C1725" t="s">
        <v>5869</v>
      </c>
      <c r="D1725" t="s">
        <v>5870</v>
      </c>
      <c r="E1725" t="s">
        <v>568</v>
      </c>
      <c r="F1725" t="s">
        <v>108</v>
      </c>
      <c r="G1725" t="s">
        <v>12</v>
      </c>
      <c r="H1725">
        <f>7932*(1.01^10)</f>
        <v>8761.8626987616753</v>
      </c>
      <c r="I1725">
        <f>36382*(1.01^10)</f>
        <v>40188.362166710453</v>
      </c>
      <c r="J1725" t="s">
        <v>5871</v>
      </c>
      <c r="K1725">
        <f t="shared" si="26"/>
        <v>44.002312529083333</v>
      </c>
    </row>
    <row r="1726" spans="1:11" x14ac:dyDescent="0.2">
      <c r="A1726" t="s">
        <v>382</v>
      </c>
      <c r="B1726" t="s">
        <v>358</v>
      </c>
      <c r="C1726" t="s">
        <v>5872</v>
      </c>
      <c r="D1726" t="s">
        <v>5873</v>
      </c>
      <c r="E1726" t="s">
        <v>220</v>
      </c>
      <c r="F1726" t="s">
        <v>12</v>
      </c>
      <c r="G1726" t="s">
        <v>24</v>
      </c>
      <c r="H1726">
        <f>922*(1.01^10)</f>
        <v>1018.4615996291308</v>
      </c>
      <c r="I1726">
        <f>4518*(1.01^10)</f>
        <v>4990.682762607823</v>
      </c>
      <c r="J1726" t="s">
        <v>5874</v>
      </c>
      <c r="K1726">
        <f t="shared" si="26"/>
        <v>4.5294433600603536</v>
      </c>
    </row>
    <row r="1727" spans="1:11" x14ac:dyDescent="0.2">
      <c r="A1727" t="s">
        <v>382</v>
      </c>
      <c r="B1727" t="s">
        <v>358</v>
      </c>
      <c r="C1727" t="s">
        <v>5875</v>
      </c>
      <c r="D1727" t="s">
        <v>5876</v>
      </c>
      <c r="E1727" t="s">
        <v>458</v>
      </c>
      <c r="F1727" t="s">
        <v>24</v>
      </c>
      <c r="G1727" t="s">
        <v>24</v>
      </c>
      <c r="H1727">
        <f>888*(1.01^10)</f>
        <v>980.90444736514985</v>
      </c>
      <c r="I1727">
        <f>5319*(1.01^10)</f>
        <v>5875.4850850621979</v>
      </c>
      <c r="J1727" t="s">
        <v>5877</v>
      </c>
      <c r="K1727">
        <f t="shared" si="26"/>
        <v>46.515464401037136</v>
      </c>
    </row>
    <row r="1728" spans="1:11" x14ac:dyDescent="0.2">
      <c r="A1728" t="s">
        <v>382</v>
      </c>
      <c r="B1728" t="s">
        <v>358</v>
      </c>
      <c r="C1728" t="s">
        <v>5878</v>
      </c>
      <c r="D1728" t="s">
        <v>5879</v>
      </c>
      <c r="E1728" t="s">
        <v>422</v>
      </c>
      <c r="F1728" t="s">
        <v>24</v>
      </c>
      <c r="G1728" t="s">
        <v>24</v>
      </c>
      <c r="H1728">
        <f>1318*(1.01^10)</f>
        <v>1455.8919612919678</v>
      </c>
      <c r="I1728">
        <f>5614*(1.01^10)</f>
        <v>6201.348612058503</v>
      </c>
      <c r="J1728" t="s">
        <v>5880</v>
      </c>
      <c r="K1728">
        <f t="shared" si="26"/>
        <v>23.25491154018798</v>
      </c>
    </row>
    <row r="1729" spans="1:11" x14ac:dyDescent="0.2">
      <c r="A1729" t="s">
        <v>382</v>
      </c>
      <c r="B1729" t="s">
        <v>1269</v>
      </c>
      <c r="C1729" t="s">
        <v>5881</v>
      </c>
      <c r="D1729" t="s">
        <v>5882</v>
      </c>
      <c r="E1729" t="s">
        <v>44</v>
      </c>
      <c r="F1729" t="s">
        <v>12</v>
      </c>
      <c r="G1729" t="s">
        <v>24</v>
      </c>
      <c r="H1729">
        <f>1151*(1.01^10)</f>
        <v>1271.4200663482966</v>
      </c>
      <c r="I1729">
        <f>5529*(1.01^10)</f>
        <v>6107.4557313985506</v>
      </c>
      <c r="J1729" t="s">
        <v>5883</v>
      </c>
      <c r="K1729">
        <f t="shared" si="26"/>
        <v>8.9037451990029126</v>
      </c>
    </row>
    <row r="1730" spans="1:11" x14ac:dyDescent="0.2">
      <c r="A1730" t="s">
        <v>382</v>
      </c>
      <c r="B1730" t="s">
        <v>1269</v>
      </c>
      <c r="C1730" t="s">
        <v>5884</v>
      </c>
      <c r="D1730" t="s">
        <v>5885</v>
      </c>
      <c r="E1730" t="s">
        <v>764</v>
      </c>
      <c r="F1730" t="s">
        <v>5</v>
      </c>
      <c r="G1730" t="s">
        <v>12</v>
      </c>
      <c r="H1730">
        <f>7787*(1.01^10)</f>
        <v>8601.692490577052</v>
      </c>
      <c r="I1730">
        <f>35320*(1.01^10)</f>
        <v>39015.253469523748</v>
      </c>
      <c r="J1730" t="s">
        <v>5886</v>
      </c>
      <c r="K1730">
        <f t="shared" si="26"/>
        <v>34.250610081555664</v>
      </c>
    </row>
    <row r="1731" spans="1:11" x14ac:dyDescent="0.2">
      <c r="A1731" t="s">
        <v>382</v>
      </c>
      <c r="B1731" t="s">
        <v>1269</v>
      </c>
      <c r="C1731" t="s">
        <v>5887</v>
      </c>
      <c r="D1731" t="s">
        <v>5888</v>
      </c>
      <c r="E1731" t="s">
        <v>126</v>
      </c>
      <c r="F1731" t="s">
        <v>11</v>
      </c>
      <c r="G1731" t="s">
        <v>24</v>
      </c>
      <c r="H1731">
        <f>2032*(1.01^10)</f>
        <v>2244.5921588355682</v>
      </c>
      <c r="I1731">
        <f>8927*(1.01^10)</f>
        <v>9860.9617135458248</v>
      </c>
      <c r="J1731" t="s">
        <v>5889</v>
      </c>
      <c r="K1731">
        <f t="shared" ref="K1731:K1794" si="27">I1731/J1731</f>
        <v>5.5847331266717752</v>
      </c>
    </row>
    <row r="1732" spans="1:11" x14ac:dyDescent="0.2">
      <c r="A1732" t="s">
        <v>382</v>
      </c>
      <c r="B1732" t="s">
        <v>1269</v>
      </c>
      <c r="C1732" t="s">
        <v>5890</v>
      </c>
      <c r="D1732" t="s">
        <v>5891</v>
      </c>
      <c r="E1732" t="s">
        <v>131</v>
      </c>
      <c r="F1732" t="s">
        <v>12</v>
      </c>
      <c r="G1732" t="s">
        <v>24</v>
      </c>
      <c r="H1732">
        <f>4411*(1.01^10)</f>
        <v>4872.4881951888237</v>
      </c>
      <c r="I1732">
        <f>21995*(1.01^10)</f>
        <v>24296.16364841945</v>
      </c>
      <c r="J1732" t="s">
        <v>5892</v>
      </c>
      <c r="K1732">
        <f t="shared" si="27"/>
        <v>24.405173765046726</v>
      </c>
    </row>
    <row r="1733" spans="1:11" x14ac:dyDescent="0.2">
      <c r="A1733" t="s">
        <v>382</v>
      </c>
      <c r="B1733" t="s">
        <v>1269</v>
      </c>
      <c r="C1733" t="s">
        <v>5893</v>
      </c>
      <c r="D1733" t="s">
        <v>5894</v>
      </c>
      <c r="E1733" t="s">
        <v>1656</v>
      </c>
      <c r="F1733" t="s">
        <v>11</v>
      </c>
      <c r="G1733" t="s">
        <v>12</v>
      </c>
      <c r="H1733">
        <f>5505*(1.01^10)</f>
        <v>6080.9448003886819</v>
      </c>
      <c r="I1733">
        <f>26865*(1.01^10)</f>
        <v>29675.673399172014</v>
      </c>
      <c r="J1733" t="s">
        <v>5895</v>
      </c>
      <c r="K1733">
        <f t="shared" si="27"/>
        <v>204.6085111837078</v>
      </c>
    </row>
    <row r="1734" spans="1:11" x14ac:dyDescent="0.2">
      <c r="A1734" t="s">
        <v>382</v>
      </c>
      <c r="B1734" t="s">
        <v>1269</v>
      </c>
      <c r="C1734" t="s">
        <v>5896</v>
      </c>
      <c r="D1734" t="s">
        <v>5897</v>
      </c>
      <c r="E1734" t="s">
        <v>445</v>
      </c>
      <c r="F1734" t="s">
        <v>12</v>
      </c>
      <c r="G1734" t="s">
        <v>24</v>
      </c>
      <c r="H1734">
        <f>1637*(1.01^10)</f>
        <v>1808.2664192981422</v>
      </c>
      <c r="I1734">
        <f>8390*(1.01^10)</f>
        <v>9267.7796322000086</v>
      </c>
      <c r="J1734" t="s">
        <v>5898</v>
      </c>
      <c r="K1734">
        <f t="shared" si="27"/>
        <v>85.229409344430209</v>
      </c>
    </row>
    <row r="1735" spans="1:11" x14ac:dyDescent="0.2">
      <c r="A1735" t="s">
        <v>382</v>
      </c>
      <c r="B1735" t="s">
        <v>1269</v>
      </c>
      <c r="C1735" t="s">
        <v>5899</v>
      </c>
      <c r="D1735" t="s">
        <v>5900</v>
      </c>
      <c r="E1735" t="s">
        <v>427</v>
      </c>
      <c r="F1735" t="s">
        <v>12</v>
      </c>
      <c r="G1735" t="s">
        <v>24</v>
      </c>
      <c r="H1735">
        <f>2153*(1.01^10)</f>
        <v>2378.2514360103237</v>
      </c>
      <c r="I1735">
        <f>10481*(1.01^10)</f>
        <v>11577.544496434837</v>
      </c>
      <c r="J1735" t="s">
        <v>5901</v>
      </c>
      <c r="K1735">
        <f t="shared" si="27"/>
        <v>50.605912410888543</v>
      </c>
    </row>
    <row r="1736" spans="1:11" x14ac:dyDescent="0.2">
      <c r="A1736" t="s">
        <v>382</v>
      </c>
      <c r="B1736" t="s">
        <v>1269</v>
      </c>
      <c r="C1736" t="s">
        <v>5902</v>
      </c>
      <c r="D1736" t="s">
        <v>5903</v>
      </c>
      <c r="E1736" t="s">
        <v>1580</v>
      </c>
      <c r="F1736" t="s">
        <v>24</v>
      </c>
      <c r="G1736" t="s">
        <v>24</v>
      </c>
      <c r="H1736">
        <f>5329*(1.01^10)</f>
        <v>5886.5313063163103</v>
      </c>
      <c r="I1736">
        <f>28219*(1.01^10)</f>
        <v>31171.331756978787</v>
      </c>
      <c r="J1736" t="s">
        <v>5904</v>
      </c>
      <c r="K1736">
        <f t="shared" si="27"/>
        <v>217.73869508854969</v>
      </c>
    </row>
    <row r="1737" spans="1:11" x14ac:dyDescent="0.2">
      <c r="A1737" t="s">
        <v>382</v>
      </c>
      <c r="B1737" t="s">
        <v>5905</v>
      </c>
      <c r="C1737" t="s">
        <v>5906</v>
      </c>
      <c r="D1737" t="s">
        <v>5907</v>
      </c>
      <c r="E1737" t="s">
        <v>264</v>
      </c>
      <c r="F1737" t="s">
        <v>6</v>
      </c>
      <c r="G1737" t="s">
        <v>24</v>
      </c>
      <c r="H1737">
        <f>1324*(1.01^10)</f>
        <v>1462.519694044435</v>
      </c>
      <c r="I1737">
        <f>5772*(1.01^10)</f>
        <v>6375.8789078734735</v>
      </c>
      <c r="J1737" t="s">
        <v>5908</v>
      </c>
      <c r="K1737">
        <f t="shared" si="27"/>
        <v>10.132382816155589</v>
      </c>
    </row>
    <row r="1738" spans="1:11" x14ac:dyDescent="0.2">
      <c r="A1738" t="s">
        <v>382</v>
      </c>
      <c r="B1738" t="s">
        <v>5905</v>
      </c>
      <c r="C1738" t="s">
        <v>5909</v>
      </c>
      <c r="D1738" t="s">
        <v>5910</v>
      </c>
      <c r="E1738" t="s">
        <v>837</v>
      </c>
      <c r="F1738" t="s">
        <v>24</v>
      </c>
      <c r="G1738" t="s">
        <v>24</v>
      </c>
      <c r="H1738">
        <f>707*(1.01^10)</f>
        <v>780.96784266572172</v>
      </c>
      <c r="I1738">
        <f>3371*(1.01^10)</f>
        <v>3723.6811847611712</v>
      </c>
      <c r="J1738" t="s">
        <v>5911</v>
      </c>
      <c r="K1738">
        <f t="shared" si="27"/>
        <v>7.2148675303065408</v>
      </c>
    </row>
    <row r="1739" spans="1:11" x14ac:dyDescent="0.2">
      <c r="A1739" t="s">
        <v>382</v>
      </c>
      <c r="B1739" t="s">
        <v>5905</v>
      </c>
      <c r="C1739" t="s">
        <v>5912</v>
      </c>
      <c r="D1739" t="s">
        <v>5913</v>
      </c>
      <c r="E1739" t="s">
        <v>374</v>
      </c>
      <c r="F1739" t="s">
        <v>12</v>
      </c>
      <c r="G1739" t="s">
        <v>24</v>
      </c>
      <c r="H1739">
        <f>321*(1.01^10)</f>
        <v>354.58370225699673</v>
      </c>
      <c r="I1739">
        <f>1681*(1.01^10)</f>
        <v>1856.8697928162351</v>
      </c>
      <c r="J1739" t="s">
        <v>5914</v>
      </c>
      <c r="K1739">
        <f t="shared" si="27"/>
        <v>3.0790919966962043</v>
      </c>
    </row>
    <row r="1740" spans="1:11" x14ac:dyDescent="0.2">
      <c r="A1740" t="s">
        <v>382</v>
      </c>
      <c r="B1740" t="s">
        <v>5905</v>
      </c>
      <c r="C1740" t="s">
        <v>5915</v>
      </c>
      <c r="D1740" t="s">
        <v>5916</v>
      </c>
      <c r="E1740" t="s">
        <v>44</v>
      </c>
      <c r="F1740" t="s">
        <v>17</v>
      </c>
      <c r="G1740" t="s">
        <v>24</v>
      </c>
      <c r="H1740">
        <f>241*(1.01^10)</f>
        <v>266.21393222410035</v>
      </c>
      <c r="I1740">
        <f>1070*(1.01^10)</f>
        <v>1181.9456741899892</v>
      </c>
      <c r="J1740" t="s">
        <v>5917</v>
      </c>
      <c r="K1740">
        <f t="shared" si="27"/>
        <v>1.6992137832724712</v>
      </c>
    </row>
    <row r="1741" spans="1:11" x14ac:dyDescent="0.2">
      <c r="A1741" t="s">
        <v>382</v>
      </c>
      <c r="B1741" t="s">
        <v>5905</v>
      </c>
      <c r="C1741" t="s">
        <v>5918</v>
      </c>
      <c r="D1741" t="s">
        <v>5919</v>
      </c>
      <c r="E1741" t="s">
        <v>220</v>
      </c>
      <c r="F1741" t="s">
        <v>12</v>
      </c>
      <c r="G1741" t="s">
        <v>24</v>
      </c>
      <c r="H1741">
        <f>346*(1.01^10)</f>
        <v>382.19925539227683</v>
      </c>
      <c r="I1741">
        <f>1608*(1.01^10)</f>
        <v>1776.2323776612172</v>
      </c>
      <c r="J1741" t="s">
        <v>5920</v>
      </c>
      <c r="K1741">
        <f t="shared" si="27"/>
        <v>6.1278345123623019</v>
      </c>
    </row>
    <row r="1742" spans="1:11" x14ac:dyDescent="0.2">
      <c r="A1742" t="s">
        <v>382</v>
      </c>
      <c r="B1742" t="s">
        <v>5905</v>
      </c>
      <c r="C1742" t="s">
        <v>5921</v>
      </c>
      <c r="D1742" t="s">
        <v>5922</v>
      </c>
      <c r="E1742" t="s">
        <v>405</v>
      </c>
      <c r="F1742" t="s">
        <v>17</v>
      </c>
      <c r="G1742" t="s">
        <v>24</v>
      </c>
      <c r="H1742">
        <f>315*(1.01^10)</f>
        <v>347.95596950452949</v>
      </c>
      <c r="I1742">
        <f>1455*(1.01^10)</f>
        <v>1607.225192473303</v>
      </c>
      <c r="J1742" t="s">
        <v>5923</v>
      </c>
      <c r="K1742">
        <f t="shared" si="27"/>
        <v>2.6444372896971009</v>
      </c>
    </row>
    <row r="1743" spans="1:11" x14ac:dyDescent="0.2">
      <c r="A1743" t="s">
        <v>382</v>
      </c>
      <c r="B1743" t="s">
        <v>5905</v>
      </c>
      <c r="C1743" t="s">
        <v>5924</v>
      </c>
      <c r="D1743" t="s">
        <v>5925</v>
      </c>
      <c r="E1743" t="s">
        <v>445</v>
      </c>
      <c r="F1743" t="s">
        <v>6</v>
      </c>
      <c r="G1743" t="s">
        <v>24</v>
      </c>
      <c r="H1743">
        <f>277*(1.01^10)</f>
        <v>305.98032873890372</v>
      </c>
      <c r="I1743">
        <f>1201*(1.01^10)</f>
        <v>1326.6511726188569</v>
      </c>
      <c r="J1743" t="s">
        <v>5926</v>
      </c>
      <c r="K1743">
        <f t="shared" si="27"/>
        <v>1.1871745742157975</v>
      </c>
    </row>
    <row r="1744" spans="1:11" x14ac:dyDescent="0.2">
      <c r="A1744" t="s">
        <v>382</v>
      </c>
      <c r="B1744" t="s">
        <v>5905</v>
      </c>
      <c r="C1744" t="s">
        <v>5927</v>
      </c>
      <c r="D1744" t="s">
        <v>5928</v>
      </c>
      <c r="E1744" t="s">
        <v>3122</v>
      </c>
      <c r="F1744" t="s">
        <v>6</v>
      </c>
      <c r="G1744" t="s">
        <v>12</v>
      </c>
      <c r="H1744">
        <f>1081*(1.01^10)</f>
        <v>1194.0965175695123</v>
      </c>
      <c r="I1744">
        <f>5009*(1.01^10)</f>
        <v>5533.0522261847245</v>
      </c>
      <c r="J1744" t="s">
        <v>5929</v>
      </c>
      <c r="K1744">
        <f t="shared" si="27"/>
        <v>3.1967001004732878</v>
      </c>
    </row>
    <row r="1745" spans="1:11" x14ac:dyDescent="0.2">
      <c r="A1745" t="s">
        <v>458</v>
      </c>
      <c r="B1745" t="s">
        <v>2623</v>
      </c>
      <c r="C1745" t="s">
        <v>5930</v>
      </c>
      <c r="D1745" t="s">
        <v>5931</v>
      </c>
      <c r="E1745" t="s">
        <v>158</v>
      </c>
      <c r="F1745" t="s">
        <v>24</v>
      </c>
      <c r="G1745" t="s">
        <v>12</v>
      </c>
      <c r="H1745">
        <f>2372*(1.01^10)</f>
        <v>2620.1636814753779</v>
      </c>
      <c r="I1745">
        <f>11023*(1.01^10)</f>
        <v>12176.24968840771</v>
      </c>
      <c r="J1745" t="s">
        <v>5932</v>
      </c>
      <c r="K1745">
        <f t="shared" si="27"/>
        <v>66.329168438916582</v>
      </c>
    </row>
    <row r="1746" spans="1:11" x14ac:dyDescent="0.2">
      <c r="A1746" t="s">
        <v>458</v>
      </c>
      <c r="B1746" t="s">
        <v>2623</v>
      </c>
      <c r="C1746" t="s">
        <v>5933</v>
      </c>
      <c r="D1746" t="s">
        <v>5934</v>
      </c>
      <c r="E1746" t="s">
        <v>44</v>
      </c>
      <c r="F1746" t="s">
        <v>24</v>
      </c>
      <c r="G1746" t="s">
        <v>24</v>
      </c>
      <c r="H1746">
        <f>4205*(1.01^10)</f>
        <v>4644.9360373541158</v>
      </c>
      <c r="I1746">
        <f>22352*(1.01^10)</f>
        <v>24690.513747191249</v>
      </c>
      <c r="J1746" t="s">
        <v>5935</v>
      </c>
      <c r="K1746">
        <f t="shared" si="27"/>
        <v>143.9233970941867</v>
      </c>
    </row>
    <row r="1747" spans="1:11" x14ac:dyDescent="0.2">
      <c r="A1747" t="s">
        <v>458</v>
      </c>
      <c r="B1747" t="s">
        <v>2623</v>
      </c>
      <c r="C1747" t="s">
        <v>5936</v>
      </c>
      <c r="D1747" t="s">
        <v>5937</v>
      </c>
      <c r="E1747" t="s">
        <v>405</v>
      </c>
      <c r="F1747" t="s">
        <v>24</v>
      </c>
      <c r="G1747" t="s">
        <v>24</v>
      </c>
      <c r="H1747">
        <f>1552*(1.01^10)</f>
        <v>1714.3735386381898</v>
      </c>
      <c r="I1747">
        <f>8435*(1.01^10)</f>
        <v>9317.4876278435113</v>
      </c>
      <c r="J1747" t="s">
        <v>5938</v>
      </c>
      <c r="K1747">
        <f t="shared" si="27"/>
        <v>96.716799349811538</v>
      </c>
    </row>
    <row r="1748" spans="1:11" x14ac:dyDescent="0.2">
      <c r="A1748" t="s">
        <v>458</v>
      </c>
      <c r="B1748" t="s">
        <v>2623</v>
      </c>
      <c r="C1748" t="s">
        <v>5939</v>
      </c>
      <c r="D1748" t="s">
        <v>5940</v>
      </c>
      <c r="E1748" t="s">
        <v>92</v>
      </c>
      <c r="F1748" t="s">
        <v>24</v>
      </c>
      <c r="G1748" t="s">
        <v>24</v>
      </c>
      <c r="H1748">
        <f>1186*(1.01^10)</f>
        <v>1310.0818407376889</v>
      </c>
      <c r="I1748">
        <f>6138*(1.01^10)</f>
        <v>6780.1706057739748</v>
      </c>
      <c r="J1748" t="s">
        <v>5941</v>
      </c>
      <c r="K1748">
        <f t="shared" si="27"/>
        <v>80.524483212971901</v>
      </c>
    </row>
    <row r="1749" spans="1:11" x14ac:dyDescent="0.2">
      <c r="A1749" t="s">
        <v>458</v>
      </c>
      <c r="B1749" t="s">
        <v>2623</v>
      </c>
      <c r="C1749" t="s">
        <v>5942</v>
      </c>
      <c r="D1749" t="s">
        <v>5943</v>
      </c>
      <c r="E1749" t="s">
        <v>445</v>
      </c>
      <c r="F1749" t="s">
        <v>24</v>
      </c>
      <c r="G1749" t="s">
        <v>12</v>
      </c>
      <c r="H1749">
        <f>7969*(1.01^10)</f>
        <v>8802.7337174018903</v>
      </c>
      <c r="I1749">
        <f>47977*(1.01^10)</f>
        <v>52996.45571085337</v>
      </c>
      <c r="J1749" t="s">
        <v>5944</v>
      </c>
      <c r="K1749">
        <f t="shared" si="27"/>
        <v>182.69161803124965</v>
      </c>
    </row>
    <row r="1750" spans="1:11" x14ac:dyDescent="0.2">
      <c r="A1750" t="s">
        <v>458</v>
      </c>
      <c r="B1750" t="s">
        <v>2623</v>
      </c>
      <c r="C1750" t="s">
        <v>5945</v>
      </c>
      <c r="D1750" t="s">
        <v>5946</v>
      </c>
      <c r="E1750" t="s">
        <v>744</v>
      </c>
      <c r="F1750" t="s">
        <v>24</v>
      </c>
      <c r="G1750" t="s">
        <v>24</v>
      </c>
      <c r="H1750">
        <f>2242*(1.01^10)</f>
        <v>2476.5628051719209</v>
      </c>
      <c r="I1750">
        <f>12738*(1.01^10)</f>
        <v>14070.676633487927</v>
      </c>
      <c r="J1750" t="s">
        <v>5947</v>
      </c>
      <c r="K1750">
        <f t="shared" si="27"/>
        <v>90.555899333173869</v>
      </c>
    </row>
    <row r="1751" spans="1:11" x14ac:dyDescent="0.2">
      <c r="A1751" t="s">
        <v>458</v>
      </c>
      <c r="B1751" t="s">
        <v>2623</v>
      </c>
      <c r="C1751" t="s">
        <v>5948</v>
      </c>
      <c r="D1751" t="s">
        <v>5949</v>
      </c>
      <c r="E1751" t="s">
        <v>152</v>
      </c>
      <c r="F1751" t="s">
        <v>24</v>
      </c>
      <c r="G1751" t="s">
        <v>24</v>
      </c>
      <c r="H1751">
        <f>2596*(1.01^10)</f>
        <v>2867.5990375674874</v>
      </c>
      <c r="I1751">
        <f>14257*(1.01^10)</f>
        <v>15748.597641987546</v>
      </c>
      <c r="J1751" t="s">
        <v>5950</v>
      </c>
      <c r="K1751">
        <f t="shared" si="27"/>
        <v>150.54279747861514</v>
      </c>
    </row>
    <row r="1752" spans="1:11" x14ac:dyDescent="0.2">
      <c r="A1752" t="s">
        <v>458</v>
      </c>
      <c r="B1752" t="s">
        <v>2623</v>
      </c>
      <c r="C1752" t="s">
        <v>5951</v>
      </c>
      <c r="D1752" t="s">
        <v>5952</v>
      </c>
      <c r="E1752" t="s">
        <v>6</v>
      </c>
      <c r="F1752" t="s">
        <v>24</v>
      </c>
      <c r="G1752" t="s">
        <v>24</v>
      </c>
      <c r="H1752">
        <f>2807*(1.01^10)</f>
        <v>3100.6743060292515</v>
      </c>
      <c r="I1752">
        <f>20311*(1.01^10)</f>
        <v>22435.97998922698</v>
      </c>
      <c r="J1752" t="s">
        <v>5953</v>
      </c>
      <c r="K1752">
        <f t="shared" si="27"/>
        <v>221.5306524187865</v>
      </c>
    </row>
    <row r="1753" spans="1:11" x14ac:dyDescent="0.2">
      <c r="A1753" t="s">
        <v>458</v>
      </c>
      <c r="B1753" t="s">
        <v>2623</v>
      </c>
      <c r="C1753" t="s">
        <v>5954</v>
      </c>
      <c r="D1753" t="s">
        <v>5955</v>
      </c>
      <c r="E1753" t="s">
        <v>6</v>
      </c>
      <c r="F1753" t="s">
        <v>24</v>
      </c>
      <c r="G1753" t="s">
        <v>24</v>
      </c>
      <c r="H1753">
        <f>2063*(1.01^10)</f>
        <v>2278.8354447233155</v>
      </c>
      <c r="I1753">
        <f>12539*(1.01^10)</f>
        <v>13850.856830531096</v>
      </c>
      <c r="J1753" t="s">
        <v>5956</v>
      </c>
      <c r="K1753">
        <f t="shared" si="27"/>
        <v>158.76164094412346</v>
      </c>
    </row>
    <row r="1754" spans="1:11" x14ac:dyDescent="0.2">
      <c r="A1754" t="s">
        <v>458</v>
      </c>
      <c r="B1754" t="s">
        <v>2623</v>
      </c>
      <c r="C1754" t="s">
        <v>5957</v>
      </c>
      <c r="D1754" t="s">
        <v>5958</v>
      </c>
      <c r="E1754" t="s">
        <v>744</v>
      </c>
      <c r="F1754" t="s">
        <v>24</v>
      </c>
      <c r="G1754" t="s">
        <v>24</v>
      </c>
      <c r="H1754">
        <f>3301*(1.01^10)</f>
        <v>3646.3576359823869</v>
      </c>
      <c r="I1754">
        <f>18656*(1.01^10)</f>
        <v>20607.830371671436</v>
      </c>
      <c r="J1754" t="s">
        <v>5959</v>
      </c>
      <c r="K1754">
        <f t="shared" si="27"/>
        <v>154.09181388300101</v>
      </c>
    </row>
    <row r="1755" spans="1:11" x14ac:dyDescent="0.2">
      <c r="A1755" t="s">
        <v>458</v>
      </c>
      <c r="B1755" t="s">
        <v>2623</v>
      </c>
      <c r="C1755" t="s">
        <v>5960</v>
      </c>
      <c r="D1755" t="s">
        <v>5961</v>
      </c>
      <c r="E1755" t="s">
        <v>108</v>
      </c>
      <c r="F1755" t="s">
        <v>24</v>
      </c>
      <c r="G1755" t="s">
        <v>24</v>
      </c>
      <c r="H1755">
        <f>3372*(1.01^10)</f>
        <v>3724.7858068865826</v>
      </c>
      <c r="I1755">
        <f>20307*(1.01^10)</f>
        <v>22431.561500725336</v>
      </c>
      <c r="J1755" t="s">
        <v>5962</v>
      </c>
      <c r="K1755">
        <f t="shared" si="27"/>
        <v>219.99524859892119</v>
      </c>
    </row>
    <row r="1756" spans="1:11" x14ac:dyDescent="0.2">
      <c r="A1756" t="s">
        <v>458</v>
      </c>
      <c r="B1756" t="s">
        <v>2623</v>
      </c>
      <c r="C1756" t="s">
        <v>5963</v>
      </c>
      <c r="D1756" t="s">
        <v>5964</v>
      </c>
      <c r="E1756" t="s">
        <v>744</v>
      </c>
      <c r="F1756" t="s">
        <v>24</v>
      </c>
      <c r="G1756" t="s">
        <v>24</v>
      </c>
      <c r="H1756">
        <f>2125*(1.01^10)</f>
        <v>2347.3220164988102</v>
      </c>
      <c r="I1756">
        <f>15377*(1.01^10)</f>
        <v>16985.774422448096</v>
      </c>
      <c r="J1756" t="s">
        <v>5965</v>
      </c>
      <c r="K1756">
        <f t="shared" si="27"/>
        <v>284.5184026079238</v>
      </c>
    </row>
    <row r="1757" spans="1:11" x14ac:dyDescent="0.2">
      <c r="A1757" t="s">
        <v>458</v>
      </c>
      <c r="B1757" t="s">
        <v>2623</v>
      </c>
      <c r="C1757" t="s">
        <v>5966</v>
      </c>
      <c r="D1757" t="s">
        <v>5967</v>
      </c>
      <c r="E1757" t="s">
        <v>5</v>
      </c>
      <c r="F1757" t="s">
        <v>24</v>
      </c>
      <c r="G1757" t="s">
        <v>24</v>
      </c>
      <c r="H1757">
        <f>2674*(1.01^10)</f>
        <v>2953.7595633495616</v>
      </c>
      <c r="I1757">
        <f>16925*(1.01^10)</f>
        <v>18695.72947258464</v>
      </c>
      <c r="J1757" t="s">
        <v>5968</v>
      </c>
      <c r="K1757">
        <f t="shared" si="27"/>
        <v>171.11939412999672</v>
      </c>
    </row>
    <row r="1758" spans="1:11" x14ac:dyDescent="0.2">
      <c r="A1758" t="s">
        <v>458</v>
      </c>
      <c r="B1758" t="s">
        <v>2623</v>
      </c>
      <c r="C1758" t="s">
        <v>5969</v>
      </c>
      <c r="D1758" t="s">
        <v>5970</v>
      </c>
      <c r="E1758" t="s">
        <v>382</v>
      </c>
      <c r="F1758" t="s">
        <v>24</v>
      </c>
      <c r="G1758" t="s">
        <v>24</v>
      </c>
      <c r="H1758">
        <f>3514*(1.01^10)</f>
        <v>3881.6421486949735</v>
      </c>
      <c r="I1758">
        <f>23225*(1.01^10)</f>
        <v>25654.84886267523</v>
      </c>
      <c r="J1758" t="s">
        <v>5971</v>
      </c>
      <c r="K1758">
        <f t="shared" si="27"/>
        <v>239.58872196564042</v>
      </c>
    </row>
    <row r="1759" spans="1:11" x14ac:dyDescent="0.2">
      <c r="A1759" t="s">
        <v>458</v>
      </c>
      <c r="B1759" t="s">
        <v>769</v>
      </c>
      <c r="C1759" t="s">
        <v>5972</v>
      </c>
      <c r="D1759" t="s">
        <v>5973</v>
      </c>
      <c r="E1759" t="s">
        <v>44</v>
      </c>
      <c r="F1759" t="s">
        <v>24</v>
      </c>
      <c r="G1759" t="s">
        <v>24</v>
      </c>
      <c r="H1759">
        <f>1950*(1.01^10)</f>
        <v>2154.0131445518491</v>
      </c>
      <c r="I1759">
        <f>8617*(1.01^10)</f>
        <v>9518.5288546683514</v>
      </c>
      <c r="J1759" t="s">
        <v>5974</v>
      </c>
      <c r="K1759">
        <f t="shared" si="27"/>
        <v>60.487709368644005</v>
      </c>
    </row>
    <row r="1760" spans="1:11" x14ac:dyDescent="0.2">
      <c r="A1760" t="s">
        <v>458</v>
      </c>
      <c r="B1760" t="s">
        <v>769</v>
      </c>
      <c r="C1760" t="s">
        <v>5975</v>
      </c>
      <c r="D1760" t="s">
        <v>5976</v>
      </c>
      <c r="E1760" t="s">
        <v>405</v>
      </c>
      <c r="F1760" t="s">
        <v>24</v>
      </c>
      <c r="G1760" t="s">
        <v>24</v>
      </c>
      <c r="H1760">
        <f>2709*(1.01^10)</f>
        <v>2992.4213377389538</v>
      </c>
      <c r="I1760">
        <f>11947*(1.01^10)</f>
        <v>13196.920532287662</v>
      </c>
      <c r="J1760" t="s">
        <v>5977</v>
      </c>
      <c r="K1760">
        <f t="shared" si="27"/>
        <v>58.439102454003731</v>
      </c>
    </row>
    <row r="1761" spans="1:11" x14ac:dyDescent="0.2">
      <c r="A1761" t="s">
        <v>458</v>
      </c>
      <c r="B1761" t="s">
        <v>769</v>
      </c>
      <c r="C1761" t="s">
        <v>5978</v>
      </c>
      <c r="D1761" t="s">
        <v>5979</v>
      </c>
      <c r="E1761" t="s">
        <v>108</v>
      </c>
      <c r="F1761" t="s">
        <v>24</v>
      </c>
      <c r="G1761" t="s">
        <v>17</v>
      </c>
      <c r="H1761">
        <f>5283*(1.01^10)</f>
        <v>5835.7186885473948</v>
      </c>
      <c r="I1761">
        <f>23377*(1.01^10)</f>
        <v>25822.751425737733</v>
      </c>
      <c r="J1761" t="s">
        <v>5980</v>
      </c>
      <c r="K1761">
        <f t="shared" si="27"/>
        <v>145.95254384943451</v>
      </c>
    </row>
    <row r="1762" spans="1:11" x14ac:dyDescent="0.2">
      <c r="A1762" t="s">
        <v>458</v>
      </c>
      <c r="B1762" t="s">
        <v>769</v>
      </c>
      <c r="C1762" t="s">
        <v>5981</v>
      </c>
      <c r="D1762" t="s">
        <v>5982</v>
      </c>
      <c r="E1762" t="s">
        <v>6</v>
      </c>
      <c r="F1762" t="s">
        <v>24</v>
      </c>
      <c r="G1762" t="s">
        <v>12</v>
      </c>
      <c r="H1762">
        <f>3519*(1.01^10)</f>
        <v>3887.1652593220297</v>
      </c>
      <c r="I1762">
        <f>17372*(1.01^10)</f>
        <v>19189.495562643449</v>
      </c>
      <c r="J1762" t="s">
        <v>5983</v>
      </c>
      <c r="K1762">
        <f t="shared" si="27"/>
        <v>168.79839100035881</v>
      </c>
    </row>
    <row r="1763" spans="1:11" x14ac:dyDescent="0.2">
      <c r="A1763" t="s">
        <v>458</v>
      </c>
      <c r="B1763" t="s">
        <v>769</v>
      </c>
      <c r="C1763" t="s">
        <v>5984</v>
      </c>
      <c r="D1763" t="s">
        <v>5985</v>
      </c>
      <c r="E1763" t="s">
        <v>108</v>
      </c>
      <c r="F1763" t="s">
        <v>24</v>
      </c>
      <c r="G1763" t="s">
        <v>24</v>
      </c>
      <c r="H1763">
        <f>3239*(1.01^10)</f>
        <v>3577.8710642068922</v>
      </c>
      <c r="I1763">
        <f>17832*(1.01^10)</f>
        <v>19697.621740332605</v>
      </c>
      <c r="J1763" t="s">
        <v>5986</v>
      </c>
      <c r="K1763">
        <f t="shared" si="27"/>
        <v>119.17357789093143</v>
      </c>
    </row>
    <row r="1764" spans="1:11" x14ac:dyDescent="0.2">
      <c r="A1764" t="s">
        <v>458</v>
      </c>
      <c r="B1764" t="s">
        <v>769</v>
      </c>
      <c r="C1764" t="s">
        <v>5987</v>
      </c>
      <c r="D1764" t="s">
        <v>5988</v>
      </c>
      <c r="E1764" t="s">
        <v>405</v>
      </c>
      <c r="F1764" t="s">
        <v>24</v>
      </c>
      <c r="G1764" t="s">
        <v>24</v>
      </c>
      <c r="H1764">
        <f>3064*(1.01^10)</f>
        <v>3384.5621922599312</v>
      </c>
      <c r="I1764">
        <f>12679*(1.01^10)</f>
        <v>14005.503928088665</v>
      </c>
      <c r="J1764" t="s">
        <v>5989</v>
      </c>
      <c r="K1764">
        <f t="shared" si="27"/>
        <v>120.29700983719277</v>
      </c>
    </row>
    <row r="1765" spans="1:11" x14ac:dyDescent="0.2">
      <c r="A1765" t="s">
        <v>458</v>
      </c>
      <c r="B1765" t="s">
        <v>769</v>
      </c>
      <c r="C1765" t="s">
        <v>5990</v>
      </c>
      <c r="D1765" t="s">
        <v>5991</v>
      </c>
      <c r="E1765" t="s">
        <v>458</v>
      </c>
      <c r="F1765" t="s">
        <v>12</v>
      </c>
      <c r="G1765" t="s">
        <v>24</v>
      </c>
      <c r="H1765">
        <f>3274*(1.01^10)</f>
        <v>3616.5328385962844</v>
      </c>
      <c r="I1765">
        <f>12957*(1.01^10)</f>
        <v>14312.58887895298</v>
      </c>
      <c r="J1765" t="s">
        <v>5992</v>
      </c>
      <c r="K1765">
        <f t="shared" si="27"/>
        <v>61.516411669844231</v>
      </c>
    </row>
    <row r="1766" spans="1:11" x14ac:dyDescent="0.2">
      <c r="A1766" t="s">
        <v>458</v>
      </c>
      <c r="B1766" t="s">
        <v>769</v>
      </c>
      <c r="C1766" t="s">
        <v>5993</v>
      </c>
      <c r="D1766" t="s">
        <v>5994</v>
      </c>
      <c r="E1766" t="s">
        <v>405</v>
      </c>
      <c r="F1766" t="s">
        <v>24</v>
      </c>
      <c r="G1766" t="s">
        <v>24</v>
      </c>
      <c r="H1766">
        <f>1433*(1.01^10)</f>
        <v>1582.9235057142564</v>
      </c>
      <c r="I1766">
        <f>6044*(1.01^10)</f>
        <v>6676.3361259853218</v>
      </c>
      <c r="J1766" t="s">
        <v>5995</v>
      </c>
      <c r="K1766" t="e">
        <f t="shared" si="27"/>
        <v>#VALUE!</v>
      </c>
    </row>
    <row r="1767" spans="1:11" x14ac:dyDescent="0.2">
      <c r="A1767" t="s">
        <v>458</v>
      </c>
      <c r="B1767" t="s">
        <v>769</v>
      </c>
      <c r="C1767" t="s">
        <v>5996</v>
      </c>
      <c r="D1767" t="s">
        <v>5997</v>
      </c>
      <c r="E1767" t="s">
        <v>356</v>
      </c>
      <c r="F1767" t="s">
        <v>24</v>
      </c>
      <c r="G1767" t="s">
        <v>12</v>
      </c>
      <c r="H1767">
        <f>18219*(1.01^10)</f>
        <v>20125.110502866741</v>
      </c>
      <c r="I1767">
        <f>83797*(1.01^10)</f>
        <v>92564.020243082719</v>
      </c>
      <c r="J1767" t="s">
        <v>5998</v>
      </c>
      <c r="K1767">
        <f t="shared" si="27"/>
        <v>216.86265201504736</v>
      </c>
    </row>
    <row r="1768" spans="1:11" x14ac:dyDescent="0.2">
      <c r="A1768" t="s">
        <v>458</v>
      </c>
      <c r="B1768" t="s">
        <v>118</v>
      </c>
      <c r="C1768" t="s">
        <v>5999</v>
      </c>
      <c r="D1768" t="s">
        <v>6000</v>
      </c>
      <c r="E1768" t="s">
        <v>744</v>
      </c>
      <c r="F1768" t="s">
        <v>24</v>
      </c>
      <c r="G1768" t="s">
        <v>24</v>
      </c>
      <c r="H1768">
        <f>852*(1.01^10)</f>
        <v>941.13805085034642</v>
      </c>
      <c r="I1768">
        <f>3931*(1.01^10)</f>
        <v>4342.2695749914456</v>
      </c>
      <c r="J1768" t="s">
        <v>6001</v>
      </c>
      <c r="K1768">
        <f t="shared" si="27"/>
        <v>70.247238248561374</v>
      </c>
    </row>
    <row r="1769" spans="1:11" x14ac:dyDescent="0.2">
      <c r="A1769" t="s">
        <v>458</v>
      </c>
      <c r="B1769" t="s">
        <v>118</v>
      </c>
      <c r="C1769" t="s">
        <v>6002</v>
      </c>
      <c r="D1769" t="s">
        <v>6003</v>
      </c>
      <c r="E1769" t="s">
        <v>405</v>
      </c>
      <c r="F1769" t="s">
        <v>24</v>
      </c>
      <c r="G1769" t="s">
        <v>24</v>
      </c>
      <c r="H1769">
        <f>1423*(1.01^10)</f>
        <v>1571.8772844601444</v>
      </c>
      <c r="I1769">
        <f>6612*(1.01^10)</f>
        <v>7303.7614932188853</v>
      </c>
      <c r="J1769" t="s">
        <v>6004</v>
      </c>
      <c r="K1769">
        <f t="shared" si="27"/>
        <v>86.930782729263711</v>
      </c>
    </row>
    <row r="1770" spans="1:11" x14ac:dyDescent="0.2">
      <c r="A1770" t="s">
        <v>458</v>
      </c>
      <c r="B1770" t="s">
        <v>118</v>
      </c>
      <c r="C1770" t="s">
        <v>6005</v>
      </c>
      <c r="D1770" t="s">
        <v>6006</v>
      </c>
      <c r="E1770" t="s">
        <v>318</v>
      </c>
      <c r="F1770" t="s">
        <v>24</v>
      </c>
      <c r="G1770" t="s">
        <v>24</v>
      </c>
      <c r="H1770">
        <f>2782*(1.01^10)</f>
        <v>3073.0587528939718</v>
      </c>
      <c r="I1770">
        <f>13957*(1.01^10)</f>
        <v>15417.211004364184</v>
      </c>
      <c r="J1770" t="s">
        <v>6007</v>
      </c>
      <c r="K1770">
        <f t="shared" si="27"/>
        <v>142.51597332377864</v>
      </c>
    </row>
    <row r="1771" spans="1:11" x14ac:dyDescent="0.2">
      <c r="A1771" t="s">
        <v>458</v>
      </c>
      <c r="B1771" t="s">
        <v>118</v>
      </c>
      <c r="C1771" t="s">
        <v>6008</v>
      </c>
      <c r="D1771" t="s">
        <v>6009</v>
      </c>
      <c r="E1771" t="s">
        <v>313</v>
      </c>
      <c r="F1771" t="s">
        <v>24</v>
      </c>
      <c r="G1771" t="s">
        <v>24</v>
      </c>
      <c r="H1771">
        <f>1546*(1.01^10)</f>
        <v>1707.7458058857226</v>
      </c>
      <c r="I1771">
        <f>7598*(1.01^10)</f>
        <v>8392.9189088743333</v>
      </c>
      <c r="J1771" t="s">
        <v>6010</v>
      </c>
      <c r="K1771">
        <f t="shared" si="27"/>
        <v>114.14036724400346</v>
      </c>
    </row>
    <row r="1772" spans="1:11" x14ac:dyDescent="0.2">
      <c r="A1772" t="s">
        <v>458</v>
      </c>
      <c r="B1772" t="s">
        <v>118</v>
      </c>
      <c r="C1772" t="s">
        <v>6011</v>
      </c>
      <c r="D1772" t="s">
        <v>6012</v>
      </c>
      <c r="E1772" t="s">
        <v>56</v>
      </c>
      <c r="F1772" t="s">
        <v>24</v>
      </c>
      <c r="G1772" t="s">
        <v>24</v>
      </c>
      <c r="H1772">
        <f>3496*(1.01^10)</f>
        <v>3861.7589504375719</v>
      </c>
      <c r="I1772">
        <f>18350*(1.01^10)</f>
        <v>20269.816001295607</v>
      </c>
      <c r="J1772" t="s">
        <v>6013</v>
      </c>
      <c r="K1772">
        <f t="shared" si="27"/>
        <v>174.11882731478016</v>
      </c>
    </row>
    <row r="1773" spans="1:11" x14ac:dyDescent="0.2">
      <c r="A1773" t="s">
        <v>458</v>
      </c>
      <c r="B1773" t="s">
        <v>118</v>
      </c>
      <c r="C1773" t="s">
        <v>6014</v>
      </c>
      <c r="D1773" t="s">
        <v>6015</v>
      </c>
      <c r="E1773" t="s">
        <v>61</v>
      </c>
      <c r="F1773" t="s">
        <v>24</v>
      </c>
      <c r="G1773" t="s">
        <v>12</v>
      </c>
      <c r="H1773">
        <f>6703*(1.01^10)</f>
        <v>7404.2821066313054</v>
      </c>
      <c r="I1773">
        <f>35977*(1.01^10)</f>
        <v>39740.990205918912</v>
      </c>
      <c r="J1773" t="s">
        <v>6016</v>
      </c>
      <c r="K1773">
        <f t="shared" si="27"/>
        <v>307.86909216164861</v>
      </c>
    </row>
    <row r="1774" spans="1:11" x14ac:dyDescent="0.2">
      <c r="A1774" t="s">
        <v>458</v>
      </c>
      <c r="B1774" t="s">
        <v>118</v>
      </c>
      <c r="C1774" t="s">
        <v>6017</v>
      </c>
      <c r="D1774" t="s">
        <v>6018</v>
      </c>
      <c r="E1774" t="s">
        <v>411</v>
      </c>
      <c r="F1774" t="s">
        <v>24</v>
      </c>
      <c r="G1774" t="s">
        <v>24</v>
      </c>
      <c r="H1774">
        <f>1731*(1.01^10)</f>
        <v>1912.1008990867954</v>
      </c>
      <c r="I1774">
        <f>8740*(1.01^10)</f>
        <v>9654.3973760939298</v>
      </c>
      <c r="J1774" t="s">
        <v>6019</v>
      </c>
      <c r="K1774">
        <f t="shared" si="27"/>
        <v>116.86966244933571</v>
      </c>
    </row>
    <row r="1775" spans="1:11" x14ac:dyDescent="0.2">
      <c r="A1775" t="s">
        <v>458</v>
      </c>
      <c r="B1775" t="s">
        <v>118</v>
      </c>
      <c r="C1775" t="s">
        <v>6020</v>
      </c>
      <c r="D1775" t="s">
        <v>6021</v>
      </c>
      <c r="E1775" t="s">
        <v>92</v>
      </c>
      <c r="F1775" t="s">
        <v>24</v>
      </c>
      <c r="G1775" t="s">
        <v>24</v>
      </c>
      <c r="H1775">
        <f>734*(1.01^10)</f>
        <v>810.79264005182426</v>
      </c>
      <c r="I1775">
        <f>3876*(1.01^10)</f>
        <v>4281.5153580938295</v>
      </c>
      <c r="J1775" t="s">
        <v>6022</v>
      </c>
      <c r="K1775">
        <f t="shared" si="27"/>
        <v>90.536150242263133</v>
      </c>
    </row>
    <row r="1776" spans="1:11" x14ac:dyDescent="0.2">
      <c r="A1776" t="s">
        <v>458</v>
      </c>
      <c r="B1776" t="s">
        <v>118</v>
      </c>
      <c r="C1776" t="s">
        <v>6023</v>
      </c>
      <c r="D1776" t="s">
        <v>6024</v>
      </c>
      <c r="E1776" t="s">
        <v>405</v>
      </c>
      <c r="F1776" t="s">
        <v>24</v>
      </c>
      <c r="G1776" t="s">
        <v>24</v>
      </c>
      <c r="H1776">
        <f>1931*(1.01^10)</f>
        <v>2133.0253241690366</v>
      </c>
      <c r="I1776">
        <f>8943*(1.01^10)</f>
        <v>9878.6356675524039</v>
      </c>
      <c r="J1776" t="s">
        <v>6025</v>
      </c>
      <c r="K1776">
        <f t="shared" si="27"/>
        <v>83.250667267157297</v>
      </c>
    </row>
    <row r="1777" spans="1:11" x14ac:dyDescent="0.2">
      <c r="A1777" t="s">
        <v>458</v>
      </c>
      <c r="B1777" t="s">
        <v>118</v>
      </c>
      <c r="C1777" t="s">
        <v>6026</v>
      </c>
      <c r="D1777" t="s">
        <v>6027</v>
      </c>
      <c r="E1777" t="s">
        <v>458</v>
      </c>
      <c r="F1777" t="s">
        <v>24</v>
      </c>
      <c r="G1777" t="s">
        <v>24</v>
      </c>
      <c r="H1777">
        <f>1658*(1.01^10)</f>
        <v>1831.4634839317775</v>
      </c>
      <c r="I1777">
        <f>7967*(1.01^10)</f>
        <v>8800.5244731510684</v>
      </c>
      <c r="J1777" t="s">
        <v>6028</v>
      </c>
      <c r="K1777">
        <f t="shared" si="27"/>
        <v>62.834783330688772</v>
      </c>
    </row>
    <row r="1778" spans="1:11" x14ac:dyDescent="0.2">
      <c r="A1778" t="s">
        <v>458</v>
      </c>
      <c r="B1778" t="s">
        <v>118</v>
      </c>
      <c r="C1778" t="s">
        <v>6029</v>
      </c>
      <c r="D1778" t="s">
        <v>6030</v>
      </c>
      <c r="E1778" t="s">
        <v>356</v>
      </c>
      <c r="F1778" t="s">
        <v>24</v>
      </c>
      <c r="G1778" t="s">
        <v>12</v>
      </c>
      <c r="H1778">
        <f>2984*(1.01^10)</f>
        <v>3296.192422227035</v>
      </c>
      <c r="I1778">
        <f>15103*(1.01^10)</f>
        <v>16683.107960085425</v>
      </c>
      <c r="J1778" t="s">
        <v>6031</v>
      </c>
      <c r="K1778">
        <f t="shared" si="27"/>
        <v>120.47763951958891</v>
      </c>
    </row>
    <row r="1779" spans="1:11" x14ac:dyDescent="0.2">
      <c r="A1779" t="s">
        <v>458</v>
      </c>
      <c r="B1779" t="s">
        <v>118</v>
      </c>
      <c r="C1779" t="s">
        <v>6032</v>
      </c>
      <c r="D1779" t="s">
        <v>6033</v>
      </c>
      <c r="E1779" t="s">
        <v>92</v>
      </c>
      <c r="F1779" t="s">
        <v>24</v>
      </c>
      <c r="G1779" t="s">
        <v>24</v>
      </c>
      <c r="H1779">
        <f>1034*(1.01^10)</f>
        <v>1142.1792776751856</v>
      </c>
      <c r="I1779">
        <f>5163*(1.01^10)</f>
        <v>5703.1640334980502</v>
      </c>
      <c r="J1779" t="s">
        <v>6035</v>
      </c>
      <c r="K1779">
        <f t="shared" si="27"/>
        <v>92.848282214774656</v>
      </c>
    </row>
    <row r="1780" spans="1:11" x14ac:dyDescent="0.2">
      <c r="A1780" t="s">
        <v>458</v>
      </c>
      <c r="B1780" t="s">
        <v>118</v>
      </c>
      <c r="C1780" t="s">
        <v>6036</v>
      </c>
      <c r="D1780" t="s">
        <v>6037</v>
      </c>
      <c r="E1780" t="s">
        <v>108</v>
      </c>
      <c r="F1780" t="s">
        <v>24</v>
      </c>
      <c r="G1780" t="s">
        <v>24</v>
      </c>
      <c r="H1780">
        <f>961*(1.01^10)</f>
        <v>1061.5418625201678</v>
      </c>
      <c r="I1780">
        <f>4540*(1.01^10)</f>
        <v>5014.9844493668697</v>
      </c>
      <c r="J1780" t="s">
        <v>6038</v>
      </c>
      <c r="K1780">
        <f t="shared" si="27"/>
        <v>53.669518254612342</v>
      </c>
    </row>
    <row r="1781" spans="1:11" x14ac:dyDescent="0.2">
      <c r="A1781" t="s">
        <v>458</v>
      </c>
      <c r="B1781" t="s">
        <v>1696</v>
      </c>
      <c r="C1781" t="s">
        <v>6039</v>
      </c>
      <c r="D1781" t="s">
        <v>6040</v>
      </c>
      <c r="E1781" t="s">
        <v>422</v>
      </c>
      <c r="F1781" t="s">
        <v>24</v>
      </c>
      <c r="G1781" t="s">
        <v>24</v>
      </c>
      <c r="H1781">
        <f>1247*(1.01^10)</f>
        <v>1377.4637903877724</v>
      </c>
      <c r="I1781">
        <f>5397*(1.01^10)</f>
        <v>5961.6456108442717</v>
      </c>
      <c r="J1781" t="s">
        <v>6041</v>
      </c>
      <c r="K1781">
        <f t="shared" si="27"/>
        <v>31.592452991131371</v>
      </c>
    </row>
    <row r="1782" spans="1:11" x14ac:dyDescent="0.2">
      <c r="A1782" t="s">
        <v>458</v>
      </c>
      <c r="B1782" t="s">
        <v>1696</v>
      </c>
      <c r="C1782" t="s">
        <v>6042</v>
      </c>
      <c r="D1782" t="s">
        <v>6043</v>
      </c>
      <c r="E1782" t="s">
        <v>744</v>
      </c>
      <c r="F1782" t="s">
        <v>24</v>
      </c>
      <c r="G1782" t="s">
        <v>24</v>
      </c>
      <c r="H1782">
        <f>2800*(1.01^10)</f>
        <v>3092.9419511513734</v>
      </c>
      <c r="I1782">
        <f>16194*(1.01^10)</f>
        <v>17888.250698909051</v>
      </c>
      <c r="J1782" t="s">
        <v>6044</v>
      </c>
      <c r="K1782">
        <f t="shared" si="27"/>
        <v>126.85510598432847</v>
      </c>
    </row>
    <row r="1783" spans="1:11" x14ac:dyDescent="0.2">
      <c r="A1783" t="s">
        <v>458</v>
      </c>
      <c r="B1783" t="s">
        <v>1696</v>
      </c>
      <c r="C1783" t="s">
        <v>6045</v>
      </c>
      <c r="D1783" t="s">
        <v>6046</v>
      </c>
      <c r="E1783" t="s">
        <v>374</v>
      </c>
      <c r="F1783" t="s">
        <v>24</v>
      </c>
      <c r="G1783" t="s">
        <v>24</v>
      </c>
      <c r="H1783">
        <f>3739*(1.01^10)</f>
        <v>4130.1821269124948</v>
      </c>
      <c r="I1783">
        <f>17124*(1.01^10)</f>
        <v>18915.549275541471</v>
      </c>
      <c r="J1783" t="s">
        <v>6047</v>
      </c>
      <c r="K1783">
        <f t="shared" si="27"/>
        <v>56.952046301625515</v>
      </c>
    </row>
    <row r="1784" spans="1:11" x14ac:dyDescent="0.2">
      <c r="A1784" t="s">
        <v>458</v>
      </c>
      <c r="B1784" t="s">
        <v>1696</v>
      </c>
      <c r="C1784" t="s">
        <v>6048</v>
      </c>
      <c r="D1784" t="s">
        <v>6049</v>
      </c>
      <c r="E1784" t="s">
        <v>5</v>
      </c>
      <c r="F1784" t="s">
        <v>24</v>
      </c>
      <c r="G1784" t="s">
        <v>24</v>
      </c>
      <c r="H1784">
        <f>552*(1.01^10)</f>
        <v>609.75141322698505</v>
      </c>
      <c r="I1784">
        <f>2697*(1.01^10)</f>
        <v>2979.1658722340194</v>
      </c>
      <c r="J1784" t="s">
        <v>6051</v>
      </c>
      <c r="K1784">
        <f t="shared" si="27"/>
        <v>71.720518837002999</v>
      </c>
    </row>
    <row r="1785" spans="1:11" x14ac:dyDescent="0.2">
      <c r="A1785" t="s">
        <v>458</v>
      </c>
      <c r="B1785" t="s">
        <v>1696</v>
      </c>
      <c r="C1785" t="s">
        <v>6052</v>
      </c>
      <c r="D1785" t="s">
        <v>6053</v>
      </c>
      <c r="E1785" t="s">
        <v>152</v>
      </c>
      <c r="F1785" t="s">
        <v>24</v>
      </c>
      <c r="G1785" t="s">
        <v>24</v>
      </c>
      <c r="H1785">
        <f>2292*(1.01^10)</f>
        <v>2531.7939114424812</v>
      </c>
      <c r="I1785">
        <f>13046*(1.01^10)</f>
        <v>14410.900248114576</v>
      </c>
      <c r="J1785" t="s">
        <v>6054</v>
      </c>
      <c r="K1785">
        <f t="shared" si="27"/>
        <v>143.14973105908311</v>
      </c>
    </row>
    <row r="1786" spans="1:11" x14ac:dyDescent="0.2">
      <c r="A1786" t="s">
        <v>458</v>
      </c>
      <c r="B1786" t="s">
        <v>1696</v>
      </c>
      <c r="C1786" t="s">
        <v>6055</v>
      </c>
      <c r="D1786" t="s">
        <v>6056</v>
      </c>
      <c r="E1786" t="s">
        <v>152</v>
      </c>
      <c r="F1786" t="s">
        <v>24</v>
      </c>
      <c r="G1786" t="s">
        <v>24</v>
      </c>
      <c r="H1786">
        <f>1300*(1.01^10)</f>
        <v>1436.0087630345661</v>
      </c>
      <c r="I1786">
        <f>7155*(1.01^10)</f>
        <v>7903.5713073171701</v>
      </c>
      <c r="J1786" t="s">
        <v>6057</v>
      </c>
      <c r="K1786">
        <f t="shared" si="27"/>
        <v>88.152432589162444</v>
      </c>
    </row>
    <row r="1787" spans="1:11" x14ac:dyDescent="0.2">
      <c r="A1787" t="s">
        <v>458</v>
      </c>
      <c r="B1787" t="s">
        <v>1696</v>
      </c>
      <c r="C1787" t="s">
        <v>6058</v>
      </c>
      <c r="D1787" t="s">
        <v>6059</v>
      </c>
      <c r="E1787" t="s">
        <v>152</v>
      </c>
      <c r="F1787" t="s">
        <v>24</v>
      </c>
      <c r="G1787" t="s">
        <v>24</v>
      </c>
      <c r="H1787">
        <f>1203*(1.01^10)</f>
        <v>1328.8604168696793</v>
      </c>
      <c r="I1787">
        <f>6338*(1.01^10)</f>
        <v>7001.095030856216</v>
      </c>
      <c r="J1787" t="s">
        <v>6060</v>
      </c>
      <c r="K1787">
        <f t="shared" si="27"/>
        <v>96.029972694127721</v>
      </c>
    </row>
    <row r="1788" spans="1:11" x14ac:dyDescent="0.2">
      <c r="A1788" t="s">
        <v>458</v>
      </c>
      <c r="B1788" t="s">
        <v>1696</v>
      </c>
      <c r="C1788" t="s">
        <v>6061</v>
      </c>
      <c r="D1788" t="s">
        <v>6062</v>
      </c>
      <c r="E1788" t="s">
        <v>411</v>
      </c>
      <c r="F1788" t="s">
        <v>24</v>
      </c>
      <c r="G1788" t="s">
        <v>24</v>
      </c>
      <c r="H1788">
        <f>2061*(1.01^10)</f>
        <v>2276.6262004724931</v>
      </c>
      <c r="I1788">
        <f>8627*(1.01^10)</f>
        <v>9529.5750759224629</v>
      </c>
      <c r="J1788" t="s">
        <v>6063</v>
      </c>
      <c r="K1788">
        <f t="shared" si="27"/>
        <v>142.70663501982591</v>
      </c>
    </row>
    <row r="1789" spans="1:11" x14ac:dyDescent="0.2">
      <c r="A1789" t="s">
        <v>458</v>
      </c>
      <c r="B1789" t="s">
        <v>1696</v>
      </c>
      <c r="C1789" t="s">
        <v>6064</v>
      </c>
      <c r="D1789" t="s">
        <v>6065</v>
      </c>
      <c r="E1789" t="s">
        <v>405</v>
      </c>
      <c r="F1789" t="s">
        <v>24</v>
      </c>
      <c r="G1789" t="s">
        <v>24</v>
      </c>
      <c r="H1789">
        <f>1734*(1.01^10)</f>
        <v>1915.414765463029</v>
      </c>
      <c r="I1789">
        <f>8680*(1.01^10)</f>
        <v>9588.1200485692571</v>
      </c>
      <c r="J1789" t="s">
        <v>6066</v>
      </c>
      <c r="K1789">
        <f t="shared" si="27"/>
        <v>65.313169654189238</v>
      </c>
    </row>
    <row r="1790" spans="1:11" x14ac:dyDescent="0.2">
      <c r="A1790" t="s">
        <v>458</v>
      </c>
      <c r="B1790" t="s">
        <v>1696</v>
      </c>
      <c r="C1790" t="s">
        <v>6067</v>
      </c>
      <c r="D1790" t="s">
        <v>6068</v>
      </c>
      <c r="E1790" t="s">
        <v>422</v>
      </c>
      <c r="F1790" t="s">
        <v>12</v>
      </c>
      <c r="G1790" t="s">
        <v>12</v>
      </c>
      <c r="H1790">
        <f>10878*(1.01^10)</f>
        <v>12016.079480223085</v>
      </c>
      <c r="I1790">
        <f>58186*(1.01^10)</f>
        <v>64273.542989176356</v>
      </c>
      <c r="J1790" t="s">
        <v>6069</v>
      </c>
      <c r="K1790">
        <f t="shared" si="27"/>
        <v>241.85726424606176</v>
      </c>
    </row>
    <row r="1791" spans="1:11" x14ac:dyDescent="0.2">
      <c r="A1791" t="s">
        <v>458</v>
      </c>
      <c r="B1791" t="s">
        <v>1696</v>
      </c>
      <c r="C1791" t="s">
        <v>6070</v>
      </c>
      <c r="D1791" t="s">
        <v>6071</v>
      </c>
      <c r="E1791" t="s">
        <v>744</v>
      </c>
      <c r="F1791" t="s">
        <v>12</v>
      </c>
      <c r="G1791" t="s">
        <v>24</v>
      </c>
      <c r="H1791">
        <f>2220*(1.01^10)</f>
        <v>2452.2611184128746</v>
      </c>
      <c r="I1791">
        <f>12856*(1.01^10)</f>
        <v>14201.022044286448</v>
      </c>
      <c r="J1791" t="s">
        <v>6072</v>
      </c>
      <c r="K1791">
        <f t="shared" si="27"/>
        <v>191.59301388334799</v>
      </c>
    </row>
    <row r="1792" spans="1:11" x14ac:dyDescent="0.2">
      <c r="A1792" t="s">
        <v>458</v>
      </c>
      <c r="B1792" t="s">
        <v>1696</v>
      </c>
      <c r="C1792" t="s">
        <v>6073</v>
      </c>
      <c r="D1792" t="s">
        <v>6074</v>
      </c>
      <c r="E1792" t="s">
        <v>6</v>
      </c>
      <c r="F1792" t="s">
        <v>24</v>
      </c>
      <c r="G1792" t="s">
        <v>24</v>
      </c>
      <c r="H1792">
        <f>1865*(1.01^10)</f>
        <v>2060.1202638918967</v>
      </c>
      <c r="I1792">
        <f>10043*(1.01^10)</f>
        <v>11093.720005504729</v>
      </c>
      <c r="J1792" t="s">
        <v>6075</v>
      </c>
      <c r="K1792">
        <f t="shared" si="27"/>
        <v>102.78760469933431</v>
      </c>
    </row>
    <row r="1793" spans="1:11" x14ac:dyDescent="0.2">
      <c r="A1793" t="s">
        <v>458</v>
      </c>
      <c r="B1793" t="s">
        <v>743</v>
      </c>
      <c r="C1793" t="s">
        <v>6076</v>
      </c>
      <c r="D1793" t="s">
        <v>6077</v>
      </c>
      <c r="E1793" t="s">
        <v>103</v>
      </c>
      <c r="F1793" t="s">
        <v>24</v>
      </c>
      <c r="G1793" t="s">
        <v>24</v>
      </c>
      <c r="H1793">
        <f>2602*(1.01^10)</f>
        <v>2874.2267703199545</v>
      </c>
      <c r="I1793">
        <f>11876*(1.01^10)</f>
        <v>13118.492361383467</v>
      </c>
      <c r="J1793" t="s">
        <v>5995</v>
      </c>
      <c r="K1793" t="e">
        <f t="shared" si="27"/>
        <v>#VALUE!</v>
      </c>
    </row>
    <row r="1794" spans="1:11" x14ac:dyDescent="0.2">
      <c r="A1794" t="s">
        <v>458</v>
      </c>
      <c r="B1794" t="s">
        <v>743</v>
      </c>
      <c r="C1794" t="s">
        <v>6078</v>
      </c>
      <c r="D1794" t="s">
        <v>6079</v>
      </c>
      <c r="E1794" t="s">
        <v>16</v>
      </c>
      <c r="F1794" t="s">
        <v>24</v>
      </c>
      <c r="G1794" t="s">
        <v>24</v>
      </c>
      <c r="H1794">
        <f>2219*(1.01^10)</f>
        <v>2451.1564962874631</v>
      </c>
      <c r="I1794">
        <f>9193*(1.01^10)</f>
        <v>10154.791198905205</v>
      </c>
      <c r="J1794" t="s">
        <v>6080</v>
      </c>
      <c r="K1794">
        <f t="shared" si="27"/>
        <v>332.14617468031122</v>
      </c>
    </row>
    <row r="1795" spans="1:11" x14ac:dyDescent="0.2">
      <c r="A1795" t="s">
        <v>458</v>
      </c>
      <c r="B1795" t="s">
        <v>743</v>
      </c>
      <c r="C1795" t="s">
        <v>6081</v>
      </c>
      <c r="D1795" t="s">
        <v>6082</v>
      </c>
      <c r="E1795" t="s">
        <v>61</v>
      </c>
      <c r="F1795" t="s">
        <v>24</v>
      </c>
      <c r="G1795" t="s">
        <v>24</v>
      </c>
      <c r="H1795">
        <f>2749*(1.01^10)</f>
        <v>3036.6062227554016</v>
      </c>
      <c r="I1795">
        <f>12519*(1.01^10)</f>
        <v>13828.764388022872</v>
      </c>
      <c r="J1795" t="s">
        <v>6083</v>
      </c>
      <c r="K1795">
        <f t="shared" ref="K1795:K1858" si="28">I1795/J1795</f>
        <v>580.01222189429757</v>
      </c>
    </row>
    <row r="1796" spans="1:11" x14ac:dyDescent="0.2">
      <c r="A1796" t="s">
        <v>458</v>
      </c>
      <c r="B1796" t="s">
        <v>743</v>
      </c>
      <c r="C1796" t="s">
        <v>6084</v>
      </c>
      <c r="D1796" t="s">
        <v>6085</v>
      </c>
      <c r="E1796" t="s">
        <v>405</v>
      </c>
      <c r="F1796" t="s">
        <v>24</v>
      </c>
      <c r="G1796" t="s">
        <v>24</v>
      </c>
      <c r="H1796">
        <f>1689*(1.01^10)</f>
        <v>1865.7067698195249</v>
      </c>
      <c r="I1796">
        <f>8699*(1.01^10)</f>
        <v>9609.1078689520709</v>
      </c>
      <c r="J1796" t="s">
        <v>6087</v>
      </c>
      <c r="K1796">
        <f t="shared" si="28"/>
        <v>137.27988485685128</v>
      </c>
    </row>
    <row r="1797" spans="1:11" x14ac:dyDescent="0.2">
      <c r="A1797" t="s">
        <v>458</v>
      </c>
      <c r="B1797" t="s">
        <v>743</v>
      </c>
      <c r="C1797" t="s">
        <v>6088</v>
      </c>
      <c r="D1797" t="s">
        <v>6089</v>
      </c>
      <c r="E1797" t="s">
        <v>108</v>
      </c>
      <c r="F1797" t="s">
        <v>24</v>
      </c>
      <c r="G1797" t="s">
        <v>11</v>
      </c>
      <c r="H1797">
        <f>36444*(1.01^10)</f>
        <v>40256.848738485947</v>
      </c>
      <c r="I1797">
        <f>169613*(1.01^10)</f>
        <v>187358.27255737068</v>
      </c>
      <c r="J1797" t="s">
        <v>6090</v>
      </c>
      <c r="K1797">
        <f t="shared" si="28"/>
        <v>5955.8208625605794</v>
      </c>
    </row>
    <row r="1798" spans="1:11" x14ac:dyDescent="0.2">
      <c r="A1798" t="s">
        <v>458</v>
      </c>
      <c r="B1798" t="s">
        <v>743</v>
      </c>
      <c r="C1798" t="s">
        <v>6091</v>
      </c>
      <c r="D1798" t="s">
        <v>6092</v>
      </c>
      <c r="E1798" t="s">
        <v>91</v>
      </c>
      <c r="F1798" t="s">
        <v>17</v>
      </c>
      <c r="G1798" t="s">
        <v>11</v>
      </c>
      <c r="H1798">
        <f>24764*(1.01^10)</f>
        <v>27354.862313683076</v>
      </c>
      <c r="I1798">
        <f>125400*(1.01^10)</f>
        <v>138519.61452656507</v>
      </c>
      <c r="J1798" t="s">
        <v>6093</v>
      </c>
      <c r="K1798">
        <f t="shared" si="28"/>
        <v>761.26579039485216</v>
      </c>
    </row>
    <row r="1799" spans="1:11" x14ac:dyDescent="0.2">
      <c r="A1799" t="s">
        <v>458</v>
      </c>
      <c r="B1799" t="s">
        <v>743</v>
      </c>
      <c r="C1799" t="s">
        <v>6094</v>
      </c>
      <c r="D1799" t="s">
        <v>6095</v>
      </c>
      <c r="E1799" t="s">
        <v>103</v>
      </c>
      <c r="F1799" t="s">
        <v>12</v>
      </c>
      <c r="G1799" t="s">
        <v>24</v>
      </c>
      <c r="H1799">
        <f>3496*(1.01^10)</f>
        <v>3861.7589504375719</v>
      </c>
      <c r="I1799">
        <f>17362*(1.01^10)</f>
        <v>19178.449341389336</v>
      </c>
      <c r="J1799" t="s">
        <v>6096</v>
      </c>
      <c r="K1799">
        <f t="shared" si="28"/>
        <v>95.252982539272111</v>
      </c>
    </row>
    <row r="1800" spans="1:11" x14ac:dyDescent="0.2">
      <c r="A1800" t="s">
        <v>458</v>
      </c>
      <c r="B1800" t="s">
        <v>743</v>
      </c>
      <c r="C1800" t="s">
        <v>6097</v>
      </c>
      <c r="D1800" t="s">
        <v>6098</v>
      </c>
      <c r="E1800" t="s">
        <v>1340</v>
      </c>
      <c r="F1800" t="s">
        <v>24</v>
      </c>
      <c r="G1800" t="s">
        <v>12</v>
      </c>
      <c r="H1800">
        <f>4642*(1.01^10)</f>
        <v>5127.6559061588123</v>
      </c>
      <c r="I1800">
        <f>24149*(1.01^10)</f>
        <v>26675.519706555184</v>
      </c>
      <c r="J1800" t="s">
        <v>6099</v>
      </c>
      <c r="K1800">
        <f t="shared" si="28"/>
        <v>68.781790932822858</v>
      </c>
    </row>
    <row r="1801" spans="1:11" x14ac:dyDescent="0.2">
      <c r="A1801" t="s">
        <v>458</v>
      </c>
      <c r="B1801" t="s">
        <v>1498</v>
      </c>
      <c r="C1801" t="s">
        <v>6100</v>
      </c>
      <c r="D1801" t="s">
        <v>6101</v>
      </c>
      <c r="E1801" t="s">
        <v>744</v>
      </c>
      <c r="F1801" t="s">
        <v>24</v>
      </c>
      <c r="G1801" t="s">
        <v>24</v>
      </c>
      <c r="H1801">
        <f>2701*(1.01^10)</f>
        <v>2983.5843607356642</v>
      </c>
      <c r="I1801">
        <f>11366*(1.01^10)</f>
        <v>12555.135077423753</v>
      </c>
      <c r="J1801" t="s">
        <v>6102</v>
      </c>
      <c r="K1801">
        <f t="shared" si="28"/>
        <v>125.82020776898275</v>
      </c>
    </row>
    <row r="1802" spans="1:11" x14ac:dyDescent="0.2">
      <c r="A1802" t="s">
        <v>458</v>
      </c>
      <c r="B1802" t="s">
        <v>1498</v>
      </c>
      <c r="C1802" t="s">
        <v>6103</v>
      </c>
      <c r="D1802" t="s">
        <v>6104</v>
      </c>
      <c r="E1802" t="s">
        <v>274</v>
      </c>
      <c r="F1802" t="s">
        <v>24</v>
      </c>
      <c r="G1802" t="s">
        <v>12</v>
      </c>
      <c r="H1802">
        <f>6091*(1.01^10)</f>
        <v>6728.2533658796483</v>
      </c>
      <c r="I1802">
        <f>27407*(1.01^10)</f>
        <v>30274.378591144887</v>
      </c>
      <c r="J1802" t="s">
        <v>6105</v>
      </c>
      <c r="K1802">
        <f t="shared" si="28"/>
        <v>92.512785933006882</v>
      </c>
    </row>
    <row r="1803" spans="1:11" x14ac:dyDescent="0.2">
      <c r="A1803" t="s">
        <v>458</v>
      </c>
      <c r="B1803" t="s">
        <v>1498</v>
      </c>
      <c r="C1803" t="s">
        <v>6106</v>
      </c>
      <c r="D1803" t="s">
        <v>6107</v>
      </c>
      <c r="E1803" t="s">
        <v>6</v>
      </c>
      <c r="F1803" t="s">
        <v>24</v>
      </c>
      <c r="G1803" t="s">
        <v>24</v>
      </c>
      <c r="H1803">
        <f>965*(1.01^10)</f>
        <v>1065.9603510218126</v>
      </c>
      <c r="I1803">
        <f>4007*(1.01^10)</f>
        <v>4426.2208565226974</v>
      </c>
      <c r="J1803" t="s">
        <v>6108</v>
      </c>
      <c r="K1803">
        <f t="shared" si="28"/>
        <v>63.658539848474035</v>
      </c>
    </row>
    <row r="1804" spans="1:11" x14ac:dyDescent="0.2">
      <c r="A1804" t="s">
        <v>458</v>
      </c>
      <c r="B1804" t="s">
        <v>1498</v>
      </c>
      <c r="C1804" t="s">
        <v>6109</v>
      </c>
      <c r="D1804" t="s">
        <v>6110</v>
      </c>
      <c r="E1804" t="s">
        <v>458</v>
      </c>
      <c r="F1804" t="s">
        <v>24</v>
      </c>
      <c r="G1804" t="s">
        <v>24</v>
      </c>
      <c r="H1804">
        <f>3036*(1.01^10)</f>
        <v>3353.6327727484177</v>
      </c>
      <c r="I1804">
        <f>13890*(1.01^10)</f>
        <v>15343.201321961635</v>
      </c>
      <c r="J1804" t="s">
        <v>6111</v>
      </c>
      <c r="K1804">
        <f t="shared" si="28"/>
        <v>39.136426553056353</v>
      </c>
    </row>
    <row r="1805" spans="1:11" x14ac:dyDescent="0.2">
      <c r="A1805" t="s">
        <v>458</v>
      </c>
      <c r="B1805" t="s">
        <v>1498</v>
      </c>
      <c r="C1805" t="s">
        <v>6112</v>
      </c>
      <c r="D1805" t="s">
        <v>6113</v>
      </c>
      <c r="E1805" t="s">
        <v>405</v>
      </c>
      <c r="F1805" t="s">
        <v>24</v>
      </c>
      <c r="G1805" t="s">
        <v>24</v>
      </c>
      <c r="H1805">
        <f>1169*(1.01^10)</f>
        <v>1291.3032646056984</v>
      </c>
      <c r="I1805">
        <f>5117*(1.01^10)</f>
        <v>5652.3514157291347</v>
      </c>
      <c r="J1805" t="s">
        <v>6114</v>
      </c>
      <c r="K1805">
        <f t="shared" si="28"/>
        <v>40.750554351960623</v>
      </c>
    </row>
    <row r="1806" spans="1:11" x14ac:dyDescent="0.2">
      <c r="A1806" t="s">
        <v>458</v>
      </c>
      <c r="B1806" t="s">
        <v>1498</v>
      </c>
      <c r="C1806" t="s">
        <v>6115</v>
      </c>
      <c r="D1806" t="s">
        <v>6116</v>
      </c>
      <c r="E1806" t="s">
        <v>108</v>
      </c>
      <c r="F1806" t="s">
        <v>24</v>
      </c>
      <c r="G1806" t="s">
        <v>24</v>
      </c>
      <c r="H1806">
        <f>896*(1.01^10)</f>
        <v>989.74142436843943</v>
      </c>
      <c r="I1806">
        <f>3611*(1.01^10)</f>
        <v>3988.7904948598602</v>
      </c>
      <c r="J1806" t="s">
        <v>6118</v>
      </c>
      <c r="K1806">
        <f t="shared" si="28"/>
        <v>8.8590572902154854</v>
      </c>
    </row>
    <row r="1807" spans="1:11" x14ac:dyDescent="0.2">
      <c r="A1807" t="s">
        <v>458</v>
      </c>
      <c r="B1807" t="s">
        <v>1498</v>
      </c>
      <c r="C1807" t="s">
        <v>6119</v>
      </c>
      <c r="D1807" t="s">
        <v>6120</v>
      </c>
      <c r="E1807" t="s">
        <v>152</v>
      </c>
      <c r="F1807" t="s">
        <v>24</v>
      </c>
      <c r="G1807" t="s">
        <v>24</v>
      </c>
      <c r="H1807">
        <f>3346*(1.01^10)</f>
        <v>3696.065631625891</v>
      </c>
      <c r="I1807">
        <f>14836*(1.01^10)</f>
        <v>16388.173852600634</v>
      </c>
      <c r="J1807" t="s">
        <v>6121</v>
      </c>
      <c r="K1807">
        <f t="shared" si="28"/>
        <v>216.97225818228972</v>
      </c>
    </row>
    <row r="1808" spans="1:11" x14ac:dyDescent="0.2">
      <c r="A1808" t="s">
        <v>458</v>
      </c>
      <c r="B1808" t="s">
        <v>1498</v>
      </c>
      <c r="C1808" t="s">
        <v>6122</v>
      </c>
      <c r="D1808" t="s">
        <v>6123</v>
      </c>
      <c r="E1808" t="s">
        <v>744</v>
      </c>
      <c r="F1808" t="s">
        <v>24</v>
      </c>
      <c r="G1808" t="s">
        <v>24</v>
      </c>
      <c r="H1808">
        <f>4022*(1.01^10)</f>
        <v>4442.7901884038656</v>
      </c>
      <c r="I1808">
        <f>16881*(1.01^10)</f>
        <v>18647.126099066547</v>
      </c>
      <c r="J1808" t="s">
        <v>6124</v>
      </c>
      <c r="K1808">
        <f t="shared" si="28"/>
        <v>197.1757137086301</v>
      </c>
    </row>
    <row r="1809" spans="1:11" x14ac:dyDescent="0.2">
      <c r="A1809" t="s">
        <v>458</v>
      </c>
      <c r="B1809" t="s">
        <v>1498</v>
      </c>
      <c r="C1809" t="s">
        <v>6125</v>
      </c>
      <c r="D1809" t="s">
        <v>6126</v>
      </c>
      <c r="E1809" t="s">
        <v>405</v>
      </c>
      <c r="F1809" t="s">
        <v>24</v>
      </c>
      <c r="G1809" t="s">
        <v>24</v>
      </c>
      <c r="H1809">
        <f>2162*(1.01^10)</f>
        <v>2388.1930351390247</v>
      </c>
      <c r="I1809">
        <f>9241*(1.01^10)</f>
        <v>10207.813060924944</v>
      </c>
      <c r="J1809" t="s">
        <v>6127</v>
      </c>
      <c r="K1809">
        <f t="shared" si="28"/>
        <v>135.0477200174079</v>
      </c>
    </row>
    <row r="1810" spans="1:11" x14ac:dyDescent="0.2">
      <c r="A1810" t="s">
        <v>458</v>
      </c>
      <c r="B1810" t="s">
        <v>1498</v>
      </c>
      <c r="C1810" t="s">
        <v>6128</v>
      </c>
      <c r="D1810" t="s">
        <v>6129</v>
      </c>
      <c r="E1810" t="s">
        <v>6</v>
      </c>
      <c r="F1810" t="s">
        <v>24</v>
      </c>
      <c r="G1810" t="s">
        <v>12</v>
      </c>
      <c r="H1810">
        <f>6811*(1.01^10)</f>
        <v>7523.5812961757156</v>
      </c>
      <c r="I1810">
        <f>31229*(1.01^10)</f>
        <v>34496.244354466515</v>
      </c>
      <c r="J1810" t="s">
        <v>6130</v>
      </c>
      <c r="K1810">
        <f t="shared" si="28"/>
        <v>277.18610871066471</v>
      </c>
    </row>
    <row r="1811" spans="1:11" x14ac:dyDescent="0.2">
      <c r="A1811" t="s">
        <v>458</v>
      </c>
      <c r="B1811" t="s">
        <v>1498</v>
      </c>
      <c r="C1811" t="s">
        <v>6131</v>
      </c>
      <c r="D1811" t="s">
        <v>6132</v>
      </c>
      <c r="E1811" t="s">
        <v>92</v>
      </c>
      <c r="F1811" t="s">
        <v>24</v>
      </c>
      <c r="G1811" t="s">
        <v>24</v>
      </c>
      <c r="H1811">
        <f>997*(1.01^10)</f>
        <v>1101.3082590349711</v>
      </c>
      <c r="I1811">
        <f>5244*(1.01^10)</f>
        <v>5792.6384256563579</v>
      </c>
      <c r="J1811" t="s">
        <v>6133</v>
      </c>
      <c r="K1811">
        <f t="shared" si="28"/>
        <v>141.72989706888819</v>
      </c>
    </row>
    <row r="1812" spans="1:11" x14ac:dyDescent="0.2">
      <c r="A1812" t="s">
        <v>458</v>
      </c>
      <c r="B1812" t="s">
        <v>1498</v>
      </c>
      <c r="C1812" t="s">
        <v>6134</v>
      </c>
      <c r="D1812" t="s">
        <v>6135</v>
      </c>
      <c r="E1812" t="s">
        <v>17</v>
      </c>
      <c r="F1812" t="s">
        <v>24</v>
      </c>
      <c r="G1812" t="s">
        <v>24</v>
      </c>
      <c r="H1812">
        <f>714*(1.01^10)</f>
        <v>788.70019754360021</v>
      </c>
      <c r="I1812">
        <f>3810*(1.01^10)</f>
        <v>4208.61029781669</v>
      </c>
      <c r="J1812" t="s">
        <v>6136</v>
      </c>
      <c r="K1812">
        <f t="shared" si="28"/>
        <v>230.04795652050973</v>
      </c>
    </row>
    <row r="1813" spans="1:11" x14ac:dyDescent="0.2">
      <c r="A1813" t="s">
        <v>458</v>
      </c>
      <c r="B1813" t="s">
        <v>1498</v>
      </c>
      <c r="C1813" t="s">
        <v>6137</v>
      </c>
      <c r="D1813" t="s">
        <v>6138</v>
      </c>
      <c r="E1813" t="s">
        <v>158</v>
      </c>
      <c r="F1813" t="s">
        <v>24</v>
      </c>
      <c r="G1813" t="s">
        <v>24</v>
      </c>
      <c r="H1813">
        <f>2360*(1.01^10)</f>
        <v>2606.9082159704431</v>
      </c>
      <c r="I1813">
        <f>10274*(1.01^10)</f>
        <v>11348.887716474717</v>
      </c>
      <c r="J1813" t="s">
        <v>6139</v>
      </c>
      <c r="K1813">
        <f t="shared" si="28"/>
        <v>142.78315462586082</v>
      </c>
    </row>
    <row r="1814" spans="1:11" x14ac:dyDescent="0.2">
      <c r="A1814" t="s">
        <v>458</v>
      </c>
      <c r="B1814" t="s">
        <v>1498</v>
      </c>
      <c r="C1814" t="s">
        <v>6140</v>
      </c>
      <c r="D1814" t="s">
        <v>6141</v>
      </c>
      <c r="E1814" t="s">
        <v>92</v>
      </c>
      <c r="F1814" t="s">
        <v>24</v>
      </c>
      <c r="G1814" t="s">
        <v>24</v>
      </c>
      <c r="H1814">
        <f>1369*(1.01^10)</f>
        <v>1512.2276896879393</v>
      </c>
      <c r="I1814">
        <f>6505*(1.01^10)</f>
        <v>7185.566925799887</v>
      </c>
      <c r="J1814" t="s">
        <v>6142</v>
      </c>
      <c r="K1814">
        <f t="shared" si="28"/>
        <v>181.23344460229723</v>
      </c>
    </row>
    <row r="1815" spans="1:11" x14ac:dyDescent="0.2">
      <c r="A1815" t="s">
        <v>458</v>
      </c>
      <c r="B1815" t="s">
        <v>754</v>
      </c>
      <c r="C1815" t="s">
        <v>6143</v>
      </c>
      <c r="D1815" t="s">
        <v>6144</v>
      </c>
      <c r="E1815" t="s">
        <v>405</v>
      </c>
      <c r="F1815" t="s">
        <v>24</v>
      </c>
      <c r="G1815" t="s">
        <v>24</v>
      </c>
      <c r="H1815">
        <f>2411*(1.01^10)</f>
        <v>2663.2439443664148</v>
      </c>
      <c r="I1815">
        <f>14182*(1.01^10)</f>
        <v>15665.750982581705</v>
      </c>
      <c r="J1815" t="s">
        <v>6145</v>
      </c>
      <c r="K1815">
        <f t="shared" si="28"/>
        <v>71.54672703092902</v>
      </c>
    </row>
    <row r="1816" spans="1:11" x14ac:dyDescent="0.2">
      <c r="A1816" t="s">
        <v>458</v>
      </c>
      <c r="B1816" t="s">
        <v>754</v>
      </c>
      <c r="C1816" t="s">
        <v>6146</v>
      </c>
      <c r="D1816" t="s">
        <v>6147</v>
      </c>
      <c r="E1816" t="s">
        <v>458</v>
      </c>
      <c r="F1816" t="s">
        <v>17</v>
      </c>
      <c r="G1816" t="s">
        <v>24</v>
      </c>
      <c r="H1816">
        <f>2039*(1.01^10)</f>
        <v>2252.3245137134463</v>
      </c>
      <c r="I1816">
        <f>11156*(1.01^10)</f>
        <v>12323.1644310874</v>
      </c>
      <c r="J1816" t="s">
        <v>6148</v>
      </c>
      <c r="K1816">
        <f t="shared" si="28"/>
        <v>124.87426440489716</v>
      </c>
    </row>
    <row r="1817" spans="1:11" x14ac:dyDescent="0.2">
      <c r="A1817" t="s">
        <v>458</v>
      </c>
      <c r="B1817" t="s">
        <v>754</v>
      </c>
      <c r="C1817" t="s">
        <v>6149</v>
      </c>
      <c r="D1817" t="s">
        <v>6150</v>
      </c>
      <c r="E1817" t="s">
        <v>382</v>
      </c>
      <c r="F1817" t="s">
        <v>24</v>
      </c>
      <c r="G1817" t="s">
        <v>24</v>
      </c>
      <c r="H1817">
        <f>3272*(1.01^10)</f>
        <v>3614.323594345462</v>
      </c>
      <c r="I1817">
        <f>17306*(1.01^10)</f>
        <v>19116.590502366311</v>
      </c>
      <c r="J1817" t="s">
        <v>6151</v>
      </c>
      <c r="K1817">
        <f t="shared" si="28"/>
        <v>121.65594096292298</v>
      </c>
    </row>
    <row r="1818" spans="1:11" x14ac:dyDescent="0.2">
      <c r="A1818" t="s">
        <v>458</v>
      </c>
      <c r="B1818" t="s">
        <v>754</v>
      </c>
      <c r="C1818" t="s">
        <v>6152</v>
      </c>
      <c r="D1818" t="s">
        <v>6153</v>
      </c>
      <c r="E1818" t="s">
        <v>158</v>
      </c>
      <c r="F1818" t="s">
        <v>24</v>
      </c>
      <c r="G1818" t="s">
        <v>12</v>
      </c>
      <c r="H1818">
        <f>8864*(1.01^10)</f>
        <v>9791.3705196449191</v>
      </c>
      <c r="I1818">
        <f>47885*(1.01^10)</f>
        <v>52894.830475315539</v>
      </c>
      <c r="J1818" t="s">
        <v>6154</v>
      </c>
      <c r="K1818">
        <f t="shared" si="28"/>
        <v>613.85563189057848</v>
      </c>
    </row>
    <row r="1819" spans="1:11" x14ac:dyDescent="0.2">
      <c r="A1819" t="s">
        <v>458</v>
      </c>
      <c r="B1819" t="s">
        <v>754</v>
      </c>
      <c r="C1819" t="s">
        <v>6155</v>
      </c>
      <c r="D1819" t="s">
        <v>6156</v>
      </c>
      <c r="E1819" t="s">
        <v>405</v>
      </c>
      <c r="F1819" t="s">
        <v>24</v>
      </c>
      <c r="G1819" t="s">
        <v>24</v>
      </c>
      <c r="H1819">
        <f>1157*(1.01^10)</f>
        <v>1278.047799100764</v>
      </c>
      <c r="I1819">
        <f>6111*(1.01^10)</f>
        <v>6750.3458083878722</v>
      </c>
      <c r="J1819" t="s">
        <v>6157</v>
      </c>
      <c r="K1819">
        <f t="shared" si="28"/>
        <v>38.782661981798334</v>
      </c>
    </row>
    <row r="1820" spans="1:11" x14ac:dyDescent="0.2">
      <c r="A1820" t="s">
        <v>458</v>
      </c>
      <c r="B1820" t="s">
        <v>754</v>
      </c>
      <c r="C1820" t="s">
        <v>6158</v>
      </c>
      <c r="D1820" t="s">
        <v>6159</v>
      </c>
      <c r="E1820" t="s">
        <v>152</v>
      </c>
      <c r="F1820" t="s">
        <v>24</v>
      </c>
      <c r="G1820" t="s">
        <v>24</v>
      </c>
      <c r="H1820">
        <f>1195*(1.01^10)</f>
        <v>1320.0234398663897</v>
      </c>
      <c r="I1820">
        <f>6629*(1.01^10)</f>
        <v>7322.5400693508764</v>
      </c>
      <c r="J1820" t="s">
        <v>6160</v>
      </c>
      <c r="K1820">
        <f t="shared" si="28"/>
        <v>56.133440112891201</v>
      </c>
    </row>
    <row r="1821" spans="1:11" x14ac:dyDescent="0.2">
      <c r="A1821" t="s">
        <v>458</v>
      </c>
      <c r="B1821" t="s">
        <v>754</v>
      </c>
      <c r="C1821" t="s">
        <v>6161</v>
      </c>
      <c r="D1821" t="s">
        <v>6162</v>
      </c>
      <c r="E1821" t="s">
        <v>6</v>
      </c>
      <c r="F1821" t="s">
        <v>24</v>
      </c>
      <c r="G1821" t="s">
        <v>24</v>
      </c>
      <c r="H1821">
        <f>1908*(1.01^10)</f>
        <v>2107.6190152845788</v>
      </c>
      <c r="I1821">
        <f>10707*(1.01^10)</f>
        <v>11827.189096777769</v>
      </c>
      <c r="J1821" t="s">
        <v>6163</v>
      </c>
      <c r="K1821">
        <f t="shared" si="28"/>
        <v>82.599969999436652</v>
      </c>
    </row>
    <row r="1822" spans="1:11" x14ac:dyDescent="0.2">
      <c r="A1822" t="s">
        <v>458</v>
      </c>
      <c r="B1822" t="s">
        <v>754</v>
      </c>
      <c r="C1822" t="s">
        <v>6164</v>
      </c>
      <c r="D1822" t="s">
        <v>6165</v>
      </c>
      <c r="E1822" t="s">
        <v>744</v>
      </c>
      <c r="F1822" t="s">
        <v>24</v>
      </c>
      <c r="G1822" t="s">
        <v>24</v>
      </c>
      <c r="H1822">
        <f>3667*(1.01^10)</f>
        <v>4050.6493338828877</v>
      </c>
      <c r="I1822">
        <f>19507*(1.01^10)</f>
        <v>21547.863800396372</v>
      </c>
      <c r="J1822" t="s">
        <v>6166</v>
      </c>
      <c r="K1822">
        <f t="shared" si="28"/>
        <v>130.65361073651366</v>
      </c>
    </row>
    <row r="1823" spans="1:11" x14ac:dyDescent="0.2">
      <c r="A1823" t="s">
        <v>458</v>
      </c>
      <c r="B1823" t="s">
        <v>754</v>
      </c>
      <c r="C1823" t="s">
        <v>6167</v>
      </c>
      <c r="D1823" t="s">
        <v>6168</v>
      </c>
      <c r="E1823" t="s">
        <v>158</v>
      </c>
      <c r="F1823" t="s">
        <v>24</v>
      </c>
      <c r="G1823" t="s">
        <v>24</v>
      </c>
      <c r="H1823">
        <f>799*(1.01^10)</f>
        <v>882.59307820355264</v>
      </c>
      <c r="I1823">
        <f>3866*(1.01^10)</f>
        <v>4270.469136839718</v>
      </c>
      <c r="J1823" t="s">
        <v>6169</v>
      </c>
      <c r="K1823">
        <f t="shared" si="28"/>
        <v>33.158326998467416</v>
      </c>
    </row>
    <row r="1824" spans="1:11" x14ac:dyDescent="0.2">
      <c r="A1824" t="s">
        <v>458</v>
      </c>
      <c r="B1824" t="s">
        <v>754</v>
      </c>
      <c r="C1824" t="s">
        <v>6170</v>
      </c>
      <c r="D1824" t="s">
        <v>6171</v>
      </c>
      <c r="E1824" t="s">
        <v>6</v>
      </c>
      <c r="F1824" t="s">
        <v>24</v>
      </c>
      <c r="G1824" t="s">
        <v>24</v>
      </c>
      <c r="H1824">
        <f>1287*(1.01^10)</f>
        <v>1421.6486754042205</v>
      </c>
      <c r="I1824">
        <f>6291*(1.01^10)</f>
        <v>6949.1777909618895</v>
      </c>
      <c r="J1824" t="s">
        <v>6172</v>
      </c>
      <c r="K1824">
        <f t="shared" si="28"/>
        <v>31.740306557244232</v>
      </c>
    </row>
    <row r="1825" spans="1:11" x14ac:dyDescent="0.2">
      <c r="A1825" t="s">
        <v>458</v>
      </c>
      <c r="B1825" t="s">
        <v>754</v>
      </c>
      <c r="C1825" t="s">
        <v>6173</v>
      </c>
      <c r="D1825" t="s">
        <v>6174</v>
      </c>
      <c r="E1825" t="s">
        <v>405</v>
      </c>
      <c r="F1825" t="s">
        <v>24</v>
      </c>
      <c r="G1825" t="s">
        <v>24</v>
      </c>
      <c r="H1825">
        <f>2216*(1.01^10)</f>
        <v>2447.8426299112298</v>
      </c>
      <c r="I1825">
        <f>11036*(1.01^10)</f>
        <v>12190.609776038056</v>
      </c>
      <c r="J1825" t="s">
        <v>6175</v>
      </c>
      <c r="K1825">
        <f t="shared" si="28"/>
        <v>82.187570463727596</v>
      </c>
    </row>
    <row r="1826" spans="1:11" x14ac:dyDescent="0.2">
      <c r="A1826" t="s">
        <v>458</v>
      </c>
      <c r="B1826" t="s">
        <v>754</v>
      </c>
      <c r="C1826" t="s">
        <v>6176</v>
      </c>
      <c r="D1826" t="s">
        <v>6177</v>
      </c>
      <c r="E1826" t="s">
        <v>108</v>
      </c>
      <c r="F1826" t="s">
        <v>24</v>
      </c>
      <c r="G1826" t="s">
        <v>24</v>
      </c>
      <c r="H1826">
        <f>2427*(1.01^10)</f>
        <v>2680.9178983729939</v>
      </c>
      <c r="I1826">
        <f>12726*(1.01^10)</f>
        <v>14057.421167982991</v>
      </c>
      <c r="J1826" t="s">
        <v>6178</v>
      </c>
      <c r="K1826">
        <f t="shared" si="28"/>
        <v>72.94535905275734</v>
      </c>
    </row>
    <row r="1827" spans="1:11" x14ac:dyDescent="0.2">
      <c r="A1827" t="s">
        <v>458</v>
      </c>
      <c r="B1827" t="s">
        <v>754</v>
      </c>
      <c r="C1827" t="s">
        <v>6179</v>
      </c>
      <c r="D1827" t="s">
        <v>6180</v>
      </c>
      <c r="E1827" t="s">
        <v>17</v>
      </c>
      <c r="F1827" t="s">
        <v>12</v>
      </c>
      <c r="G1827" t="s">
        <v>24</v>
      </c>
      <c r="H1827">
        <f>488*(1.01^10)</f>
        <v>539.05559720066788</v>
      </c>
      <c r="I1827">
        <f>2132*(1.01^10)</f>
        <v>2355.0543713766883</v>
      </c>
      <c r="J1827" t="s">
        <v>6182</v>
      </c>
      <c r="K1827">
        <f t="shared" si="28"/>
        <v>50.30415562739659</v>
      </c>
    </row>
    <row r="1828" spans="1:11" x14ac:dyDescent="0.2">
      <c r="A1828" t="s">
        <v>458</v>
      </c>
      <c r="B1828" t="s">
        <v>754</v>
      </c>
      <c r="C1828" t="s">
        <v>6183</v>
      </c>
      <c r="D1828" t="s">
        <v>6184</v>
      </c>
      <c r="E1828" t="s">
        <v>92</v>
      </c>
      <c r="F1828" t="s">
        <v>12</v>
      </c>
      <c r="G1828" t="s">
        <v>24</v>
      </c>
      <c r="H1828">
        <f>1100*(1.01^10)</f>
        <v>1215.0843379523253</v>
      </c>
      <c r="I1828">
        <f>5438*(1.01^10)</f>
        <v>6006.9351179861314</v>
      </c>
      <c r="J1828" t="s">
        <v>6185</v>
      </c>
      <c r="K1828">
        <f t="shared" si="28"/>
        <v>113.28577489430766</v>
      </c>
    </row>
    <row r="1829" spans="1:11" x14ac:dyDescent="0.2">
      <c r="A1829" t="s">
        <v>458</v>
      </c>
      <c r="B1829" t="s">
        <v>754</v>
      </c>
      <c r="C1829" t="s">
        <v>6186</v>
      </c>
      <c r="D1829" t="s">
        <v>6187</v>
      </c>
      <c r="E1829" t="s">
        <v>6</v>
      </c>
      <c r="F1829" t="s">
        <v>24</v>
      </c>
      <c r="G1829" t="s">
        <v>24</v>
      </c>
      <c r="H1829">
        <f>702*(1.01^10)</f>
        <v>775.44473203866573</v>
      </c>
      <c r="I1829">
        <f>3024*(1.01^10)</f>
        <v>3340.3773072434833</v>
      </c>
      <c r="J1829" t="s">
        <v>6188</v>
      </c>
      <c r="K1829">
        <f t="shared" si="28"/>
        <v>40.506481768402089</v>
      </c>
    </row>
    <row r="1830" spans="1:11" x14ac:dyDescent="0.2">
      <c r="A1830" t="s">
        <v>458</v>
      </c>
      <c r="B1830" t="s">
        <v>754</v>
      </c>
      <c r="C1830" t="s">
        <v>6189</v>
      </c>
      <c r="D1830" t="s">
        <v>6190</v>
      </c>
      <c r="E1830" t="s">
        <v>274</v>
      </c>
      <c r="F1830" t="s">
        <v>17</v>
      </c>
      <c r="G1830" t="s">
        <v>24</v>
      </c>
      <c r="H1830">
        <f>3210*(1.01^10)</f>
        <v>3545.8370225699673</v>
      </c>
      <c r="I1830">
        <f>18600*(1.01^10)</f>
        <v>20545.971532648407</v>
      </c>
      <c r="J1830" t="s">
        <v>6191</v>
      </c>
      <c r="K1830">
        <f t="shared" si="28"/>
        <v>41.814112815647462</v>
      </c>
    </row>
    <row r="1831" spans="1:11" x14ac:dyDescent="0.2">
      <c r="A1831" t="s">
        <v>458</v>
      </c>
      <c r="B1831" t="s">
        <v>2653</v>
      </c>
      <c r="C1831" t="s">
        <v>6192</v>
      </c>
      <c r="D1831" t="s">
        <v>6193</v>
      </c>
      <c r="E1831" t="s">
        <v>92</v>
      </c>
      <c r="F1831" t="s">
        <v>24</v>
      </c>
      <c r="G1831" t="s">
        <v>24</v>
      </c>
      <c r="H1831">
        <f>1383*(1.01^10)</f>
        <v>1527.6923994436961</v>
      </c>
      <c r="I1831">
        <f>5336*(1.01^10)</f>
        <v>5894.2636611941889</v>
      </c>
      <c r="J1831" t="s">
        <v>6194</v>
      </c>
      <c r="K1831">
        <f t="shared" si="28"/>
        <v>105.19629179791669</v>
      </c>
    </row>
    <row r="1832" spans="1:11" x14ac:dyDescent="0.2">
      <c r="A1832" t="s">
        <v>458</v>
      </c>
      <c r="B1832" t="s">
        <v>2653</v>
      </c>
      <c r="C1832" t="s">
        <v>6195</v>
      </c>
      <c r="D1832" t="s">
        <v>5747</v>
      </c>
      <c r="E1832" t="s">
        <v>744</v>
      </c>
      <c r="F1832" t="s">
        <v>24</v>
      </c>
      <c r="G1832" t="s">
        <v>24</v>
      </c>
      <c r="H1832">
        <f>911*(1.01^10)</f>
        <v>1006.3107562496075</v>
      </c>
      <c r="I1832">
        <f>3518*(1.01^10)</f>
        <v>3886.0606371966182</v>
      </c>
      <c r="J1832" t="s">
        <v>6197</v>
      </c>
      <c r="K1832">
        <f t="shared" si="28"/>
        <v>55.202720639786492</v>
      </c>
    </row>
    <row r="1833" spans="1:11" x14ac:dyDescent="0.2">
      <c r="A1833" t="s">
        <v>458</v>
      </c>
      <c r="B1833" t="s">
        <v>2653</v>
      </c>
      <c r="C1833" t="s">
        <v>6198</v>
      </c>
      <c r="D1833" t="s">
        <v>6199</v>
      </c>
      <c r="E1833" t="s">
        <v>108</v>
      </c>
      <c r="F1833" t="s">
        <v>24</v>
      </c>
      <c r="G1833" t="s">
        <v>24</v>
      </c>
      <c r="H1833">
        <f>2536*(1.01^10)</f>
        <v>2801.3217100428151</v>
      </c>
      <c r="I1833">
        <f>9831*(1.01^10)</f>
        <v>10859.540114917554</v>
      </c>
      <c r="J1833" t="s">
        <v>6200</v>
      </c>
      <c r="K1833">
        <f t="shared" si="28"/>
        <v>73.731820979850099</v>
      </c>
    </row>
    <row r="1834" spans="1:11" x14ac:dyDescent="0.2">
      <c r="A1834" t="s">
        <v>458</v>
      </c>
      <c r="B1834" t="s">
        <v>2653</v>
      </c>
      <c r="C1834" t="s">
        <v>6201</v>
      </c>
      <c r="D1834" t="s">
        <v>6202</v>
      </c>
      <c r="E1834" t="s">
        <v>318</v>
      </c>
      <c r="F1834" t="s">
        <v>24</v>
      </c>
      <c r="G1834" t="s">
        <v>12</v>
      </c>
      <c r="H1834">
        <f>5302*(1.01^10)</f>
        <v>5856.7065089302077</v>
      </c>
      <c r="I1834">
        <f>23184*(1.01^10)</f>
        <v>25609.559355533373</v>
      </c>
      <c r="J1834" t="s">
        <v>6203</v>
      </c>
      <c r="K1834">
        <f t="shared" si="28"/>
        <v>166.70478010122017</v>
      </c>
    </row>
    <row r="1835" spans="1:11" x14ac:dyDescent="0.2">
      <c r="A1835" t="s">
        <v>458</v>
      </c>
      <c r="B1835" t="s">
        <v>2653</v>
      </c>
      <c r="C1835" t="s">
        <v>6204</v>
      </c>
      <c r="D1835" t="s">
        <v>6205</v>
      </c>
      <c r="E1835" t="s">
        <v>405</v>
      </c>
      <c r="F1835" t="s">
        <v>24</v>
      </c>
      <c r="G1835" t="s">
        <v>24</v>
      </c>
      <c r="H1835">
        <f>1853*(1.01^10)</f>
        <v>2046.8647983869623</v>
      </c>
      <c r="I1835">
        <f>8615*(1.01^10)</f>
        <v>9516.3196104175295</v>
      </c>
      <c r="J1835" t="s">
        <v>6206</v>
      </c>
      <c r="K1835">
        <f t="shared" si="28"/>
        <v>70.665989312705108</v>
      </c>
    </row>
    <row r="1836" spans="1:11" x14ac:dyDescent="0.2">
      <c r="A1836" t="s">
        <v>458</v>
      </c>
      <c r="B1836" t="s">
        <v>3676</v>
      </c>
      <c r="C1836" t="s">
        <v>6207</v>
      </c>
      <c r="D1836" t="s">
        <v>6208</v>
      </c>
      <c r="E1836" t="s">
        <v>382</v>
      </c>
      <c r="F1836" t="s">
        <v>11</v>
      </c>
      <c r="G1836" t="s">
        <v>24</v>
      </c>
      <c r="H1836">
        <f>1939*(1.01^10)</f>
        <v>2141.8623011723262</v>
      </c>
      <c r="I1836">
        <f>9951*(1.01^10)</f>
        <v>10992.094769966898</v>
      </c>
      <c r="J1836" t="s">
        <v>6209</v>
      </c>
      <c r="K1836">
        <f t="shared" si="28"/>
        <v>72.923389364795895</v>
      </c>
    </row>
    <row r="1837" spans="1:11" x14ac:dyDescent="0.2">
      <c r="A1837" t="s">
        <v>458</v>
      </c>
      <c r="B1837" t="s">
        <v>3676</v>
      </c>
      <c r="C1837" t="s">
        <v>6210</v>
      </c>
      <c r="D1837" t="s">
        <v>6211</v>
      </c>
      <c r="E1837" t="s">
        <v>382</v>
      </c>
      <c r="F1837" t="s">
        <v>24</v>
      </c>
      <c r="G1837" t="s">
        <v>24</v>
      </c>
      <c r="H1837">
        <f>2176*(1.01^10)</f>
        <v>2403.6577448947814</v>
      </c>
      <c r="I1837">
        <f>9075*(1.01^10)</f>
        <v>10024.445788106683</v>
      </c>
      <c r="J1837" t="s">
        <v>6212</v>
      </c>
      <c r="K1837">
        <f t="shared" si="28"/>
        <v>95.733138342856535</v>
      </c>
    </row>
    <row r="1838" spans="1:11" x14ac:dyDescent="0.2">
      <c r="A1838" t="s">
        <v>458</v>
      </c>
      <c r="B1838" t="s">
        <v>3676</v>
      </c>
      <c r="C1838" t="s">
        <v>6213</v>
      </c>
      <c r="D1838" t="s">
        <v>6214</v>
      </c>
      <c r="E1838" t="s">
        <v>152</v>
      </c>
      <c r="F1838" t="s">
        <v>12</v>
      </c>
      <c r="G1838" t="s">
        <v>12</v>
      </c>
      <c r="H1838">
        <f>4284*(1.01^10)</f>
        <v>4732.2011852616015</v>
      </c>
      <c r="I1838">
        <f>21939*(1.01^10)</f>
        <v>24234.304809396421</v>
      </c>
      <c r="J1838" t="s">
        <v>6215</v>
      </c>
      <c r="K1838">
        <f t="shared" si="28"/>
        <v>266.38174597119365</v>
      </c>
    </row>
    <row r="1839" spans="1:11" x14ac:dyDescent="0.2">
      <c r="A1839" t="s">
        <v>458</v>
      </c>
      <c r="B1839" t="s">
        <v>3676</v>
      </c>
      <c r="C1839" t="s">
        <v>6216</v>
      </c>
      <c r="D1839" t="s">
        <v>6217</v>
      </c>
      <c r="E1839" t="s">
        <v>152</v>
      </c>
      <c r="F1839" t="s">
        <v>24</v>
      </c>
      <c r="G1839" t="s">
        <v>24</v>
      </c>
      <c r="H1839">
        <f>792*(1.01^10)</f>
        <v>874.86072332567414</v>
      </c>
      <c r="I1839">
        <f>5171*(1.01^10)</f>
        <v>5712.0010105013398</v>
      </c>
      <c r="J1839" t="s">
        <v>6218</v>
      </c>
      <c r="K1839">
        <f t="shared" si="28"/>
        <v>40.440729072292584</v>
      </c>
    </row>
    <row r="1840" spans="1:11" x14ac:dyDescent="0.2">
      <c r="A1840" t="s">
        <v>458</v>
      </c>
      <c r="B1840" t="s">
        <v>3676</v>
      </c>
      <c r="C1840" t="s">
        <v>6219</v>
      </c>
      <c r="D1840" t="s">
        <v>6220</v>
      </c>
      <c r="E1840" t="s">
        <v>458</v>
      </c>
      <c r="F1840" t="s">
        <v>24</v>
      </c>
      <c r="G1840" t="s">
        <v>24</v>
      </c>
      <c r="H1840">
        <f>796*(1.01^10)</f>
        <v>879.27921182731893</v>
      </c>
      <c r="I1840">
        <f>4035*(1.01^10)</f>
        <v>4457.1502760342109</v>
      </c>
      <c r="J1840" t="s">
        <v>6221</v>
      </c>
      <c r="K1840">
        <f t="shared" si="28"/>
        <v>34.733992318029202</v>
      </c>
    </row>
    <row r="1841" spans="1:11" x14ac:dyDescent="0.2">
      <c r="A1841" t="s">
        <v>458</v>
      </c>
      <c r="B1841" t="s">
        <v>3676</v>
      </c>
      <c r="C1841" t="s">
        <v>6222</v>
      </c>
      <c r="D1841" t="s">
        <v>6223</v>
      </c>
      <c r="E1841" t="s">
        <v>108</v>
      </c>
      <c r="F1841" t="s">
        <v>12</v>
      </c>
      <c r="G1841" t="s">
        <v>24</v>
      </c>
      <c r="H1841">
        <f>877*(1.01^10)</f>
        <v>968.75360398562657</v>
      </c>
      <c r="I1841">
        <f>4723*(1.01^10)</f>
        <v>5217.1302983171199</v>
      </c>
      <c r="J1841" t="s">
        <v>6224</v>
      </c>
      <c r="K1841">
        <f t="shared" si="28"/>
        <v>66.905317261574496</v>
      </c>
    </row>
    <row r="1842" spans="1:11" x14ac:dyDescent="0.2">
      <c r="A1842" t="s">
        <v>458</v>
      </c>
      <c r="B1842" t="s">
        <v>3676</v>
      </c>
      <c r="C1842" t="s">
        <v>6225</v>
      </c>
      <c r="D1842" t="s">
        <v>6226</v>
      </c>
      <c r="E1842" t="s">
        <v>356</v>
      </c>
      <c r="F1842" t="s">
        <v>24</v>
      </c>
      <c r="G1842" t="s">
        <v>24</v>
      </c>
      <c r="H1842">
        <f>2910*(1.01^10)</f>
        <v>3214.4503849466059</v>
      </c>
      <c r="I1842">
        <f>14464*(1.01^10)</f>
        <v>15977.254421947666</v>
      </c>
      <c r="J1842" t="s">
        <v>6227</v>
      </c>
      <c r="K1842">
        <f t="shared" si="28"/>
        <v>52.495553163190024</v>
      </c>
    </row>
    <row r="1843" spans="1:11" x14ac:dyDescent="0.2">
      <c r="A1843" t="s">
        <v>458</v>
      </c>
      <c r="B1843" t="s">
        <v>3676</v>
      </c>
      <c r="C1843" t="s">
        <v>6228</v>
      </c>
      <c r="D1843" t="s">
        <v>6229</v>
      </c>
      <c r="E1843" t="s">
        <v>6</v>
      </c>
      <c r="F1843" t="s">
        <v>12</v>
      </c>
      <c r="G1843" t="s">
        <v>24</v>
      </c>
      <c r="H1843">
        <f>997*(1.01^10)</f>
        <v>1101.3082590349711</v>
      </c>
      <c r="I1843">
        <f>4646*(1.01^10)</f>
        <v>5132.0743946604571</v>
      </c>
      <c r="J1843" t="s">
        <v>6230</v>
      </c>
      <c r="K1843">
        <f t="shared" si="28"/>
        <v>38.974281768647593</v>
      </c>
    </row>
    <row r="1844" spans="1:11" x14ac:dyDescent="0.2">
      <c r="A1844" t="s">
        <v>458</v>
      </c>
      <c r="B1844" t="s">
        <v>6231</v>
      </c>
      <c r="C1844" t="s">
        <v>6232</v>
      </c>
      <c r="D1844" t="s">
        <v>6233</v>
      </c>
      <c r="E1844" t="s">
        <v>103</v>
      </c>
      <c r="F1844" t="s">
        <v>24</v>
      </c>
      <c r="G1844" t="s">
        <v>12</v>
      </c>
      <c r="H1844">
        <f>9111*(1.01^10)</f>
        <v>10064.212184621487</v>
      </c>
      <c r="I1844">
        <f>51314*(1.01^10)</f>
        <v>56682.579743350558</v>
      </c>
      <c r="J1844" t="s">
        <v>6234</v>
      </c>
      <c r="K1844">
        <f t="shared" si="28"/>
        <v>221.44129034966366</v>
      </c>
    </row>
    <row r="1845" spans="1:11" x14ac:dyDescent="0.2">
      <c r="A1845" t="s">
        <v>458</v>
      </c>
      <c r="B1845" t="s">
        <v>6231</v>
      </c>
      <c r="C1845" t="s">
        <v>6235</v>
      </c>
      <c r="D1845" t="s">
        <v>6236</v>
      </c>
      <c r="E1845" t="s">
        <v>6</v>
      </c>
      <c r="F1845" t="s">
        <v>24</v>
      </c>
      <c r="G1845" t="s">
        <v>24</v>
      </c>
      <c r="H1845">
        <f>1119*(1.01^10)</f>
        <v>1236.0721583351381</v>
      </c>
      <c r="I1845">
        <f>5525*(1.01^10)</f>
        <v>6103.0372428969058</v>
      </c>
      <c r="J1845" t="s">
        <v>6237</v>
      </c>
      <c r="K1845">
        <f t="shared" si="28"/>
        <v>71.855869996191075</v>
      </c>
    </row>
    <row r="1846" spans="1:11" x14ac:dyDescent="0.2">
      <c r="A1846" t="s">
        <v>458</v>
      </c>
      <c r="B1846" t="s">
        <v>6231</v>
      </c>
      <c r="C1846" t="s">
        <v>6238</v>
      </c>
      <c r="D1846" t="s">
        <v>6239</v>
      </c>
      <c r="E1846" t="s">
        <v>445</v>
      </c>
      <c r="F1846" t="s">
        <v>24</v>
      </c>
      <c r="G1846" t="s">
        <v>24</v>
      </c>
      <c r="H1846">
        <f>3874*(1.01^10)</f>
        <v>4279.3061138430076</v>
      </c>
      <c r="I1846">
        <f>19692*(1.01^10)</f>
        <v>21752.218893597445</v>
      </c>
      <c r="J1846" t="s">
        <v>6240</v>
      </c>
      <c r="K1846">
        <f t="shared" si="28"/>
        <v>69.326780733997694</v>
      </c>
    </row>
    <row r="1847" spans="1:11" x14ac:dyDescent="0.2">
      <c r="A1847" t="s">
        <v>458</v>
      </c>
      <c r="B1847" t="s">
        <v>6231</v>
      </c>
      <c r="C1847" t="s">
        <v>6241</v>
      </c>
      <c r="D1847" t="s">
        <v>6242</v>
      </c>
      <c r="E1847" t="s">
        <v>405</v>
      </c>
      <c r="F1847" t="s">
        <v>24</v>
      </c>
      <c r="G1847" t="s">
        <v>24</v>
      </c>
      <c r="H1847">
        <f>1609*(1.01^10)</f>
        <v>1777.3369997866284</v>
      </c>
      <c r="I1847">
        <f>6695*(1.01^10)</f>
        <v>7395.4451296280158</v>
      </c>
      <c r="J1847" t="s">
        <v>6243</v>
      </c>
      <c r="K1847">
        <f t="shared" si="28"/>
        <v>57.723205723687251</v>
      </c>
    </row>
    <row r="1848" spans="1:11" x14ac:dyDescent="0.2">
      <c r="A1848" t="s">
        <v>458</v>
      </c>
      <c r="B1848" t="s">
        <v>6231</v>
      </c>
      <c r="C1848" t="s">
        <v>6244</v>
      </c>
      <c r="D1848" t="s">
        <v>6245</v>
      </c>
      <c r="E1848" t="s">
        <v>405</v>
      </c>
      <c r="F1848" t="s">
        <v>24</v>
      </c>
      <c r="G1848" t="s">
        <v>24</v>
      </c>
      <c r="H1848">
        <f>2523*(1.01^10)</f>
        <v>2786.9616224124698</v>
      </c>
      <c r="I1848">
        <f>16467*(1.01^10)</f>
        <v>18189.812539146307</v>
      </c>
      <c r="J1848" t="s">
        <v>6246</v>
      </c>
      <c r="K1848">
        <f t="shared" si="28"/>
        <v>135.82395002048716</v>
      </c>
    </row>
    <row r="1849" spans="1:11" x14ac:dyDescent="0.2">
      <c r="A1849" t="s">
        <v>458</v>
      </c>
      <c r="B1849" t="s">
        <v>6231</v>
      </c>
      <c r="C1849" t="s">
        <v>6247</v>
      </c>
      <c r="D1849" t="s">
        <v>6248</v>
      </c>
      <c r="E1849" t="s">
        <v>405</v>
      </c>
      <c r="F1849" t="s">
        <v>24</v>
      </c>
      <c r="G1849" t="s">
        <v>24</v>
      </c>
      <c r="H1849">
        <f>6592*(1.01^10)</f>
        <v>7281.6690507106614</v>
      </c>
      <c r="I1849">
        <f>34056*(1.01^10)</f>
        <v>37619.011103003992</v>
      </c>
      <c r="J1849" t="s">
        <v>6249</v>
      </c>
      <c r="K1849">
        <f t="shared" si="28"/>
        <v>254.78545890762442</v>
      </c>
    </row>
    <row r="1850" spans="1:11" x14ac:dyDescent="0.2">
      <c r="A1850" t="s">
        <v>458</v>
      </c>
      <c r="B1850" t="s">
        <v>6231</v>
      </c>
      <c r="C1850" t="s">
        <v>6250</v>
      </c>
      <c r="D1850" t="s">
        <v>6251</v>
      </c>
      <c r="E1850" t="s">
        <v>17</v>
      </c>
      <c r="F1850" t="s">
        <v>24</v>
      </c>
      <c r="G1850" t="s">
        <v>17</v>
      </c>
      <c r="H1850">
        <f>26138*(1.01^10)</f>
        <v>28872.613113998068</v>
      </c>
      <c r="I1850">
        <f>116870*(1.01^10)</f>
        <v>129097.1877968075</v>
      </c>
      <c r="J1850" t="s">
        <v>6252</v>
      </c>
      <c r="K1850">
        <f t="shared" si="28"/>
        <v>3159.7858961926336</v>
      </c>
    </row>
    <row r="1851" spans="1:11" x14ac:dyDescent="0.2">
      <c r="A1851" t="s">
        <v>458</v>
      </c>
      <c r="B1851" t="s">
        <v>6231</v>
      </c>
      <c r="C1851" t="s">
        <v>6253</v>
      </c>
      <c r="D1851" t="s">
        <v>6254</v>
      </c>
      <c r="E1851" t="s">
        <v>44</v>
      </c>
      <c r="F1851" t="s">
        <v>24</v>
      </c>
      <c r="G1851" t="s">
        <v>24</v>
      </c>
      <c r="H1851">
        <f>3425*(1.01^10)</f>
        <v>3783.3307795333762</v>
      </c>
      <c r="I1851">
        <f>17369*(1.01^10)</f>
        <v>19186.181696267216</v>
      </c>
      <c r="J1851" t="s">
        <v>6255</v>
      </c>
      <c r="K1851">
        <f t="shared" si="28"/>
        <v>53.625085394128128</v>
      </c>
    </row>
    <row r="1852" spans="1:11" x14ac:dyDescent="0.2">
      <c r="A1852" t="s">
        <v>458</v>
      </c>
      <c r="B1852" t="s">
        <v>1990</v>
      </c>
      <c r="C1852" t="s">
        <v>6256</v>
      </c>
      <c r="D1852" t="s">
        <v>6257</v>
      </c>
      <c r="E1852" t="s">
        <v>382</v>
      </c>
      <c r="F1852" t="s">
        <v>17</v>
      </c>
      <c r="G1852" t="s">
        <v>24</v>
      </c>
      <c r="H1852">
        <f>2153*(1.01^10)</f>
        <v>2378.2514360103237</v>
      </c>
      <c r="I1852">
        <f>10105*(1.01^10)</f>
        <v>11162.206577280223</v>
      </c>
      <c r="J1852" t="s">
        <v>6258</v>
      </c>
      <c r="K1852">
        <f t="shared" si="28"/>
        <v>88.613105634731056</v>
      </c>
    </row>
    <row r="1853" spans="1:11" x14ac:dyDescent="0.2">
      <c r="A1853" t="s">
        <v>458</v>
      </c>
      <c r="B1853" t="s">
        <v>1990</v>
      </c>
      <c r="C1853" t="s">
        <v>6259</v>
      </c>
      <c r="D1853" t="s">
        <v>6260</v>
      </c>
      <c r="E1853" t="s">
        <v>422</v>
      </c>
      <c r="F1853" t="s">
        <v>17</v>
      </c>
      <c r="G1853" t="s">
        <v>12</v>
      </c>
      <c r="H1853">
        <f>5701*(1.01^10)</f>
        <v>6297.4507369692783</v>
      </c>
      <c r="I1853">
        <f>28391*(1.01^10)</f>
        <v>31361.326762549514</v>
      </c>
      <c r="J1853" t="s">
        <v>6261</v>
      </c>
      <c r="K1853">
        <f t="shared" si="28"/>
        <v>131.82296459610544</v>
      </c>
    </row>
    <row r="1854" spans="1:11" x14ac:dyDescent="0.2">
      <c r="A1854" t="s">
        <v>458</v>
      </c>
      <c r="B1854" t="s">
        <v>1990</v>
      </c>
      <c r="C1854" t="s">
        <v>6262</v>
      </c>
      <c r="D1854" t="s">
        <v>6263</v>
      </c>
      <c r="E1854" t="s">
        <v>422</v>
      </c>
      <c r="F1854" t="s">
        <v>92</v>
      </c>
      <c r="G1854" t="s">
        <v>24</v>
      </c>
      <c r="H1854">
        <f>2693*(1.01^10)</f>
        <v>2974.7473837323746</v>
      </c>
      <c r="I1854">
        <f>13950*(1.01^10)</f>
        <v>15409.478649486306</v>
      </c>
      <c r="J1854" t="s">
        <v>6264</v>
      </c>
      <c r="K1854">
        <f t="shared" si="28"/>
        <v>38.742298088344043</v>
      </c>
    </row>
    <row r="1855" spans="1:11" x14ac:dyDescent="0.2">
      <c r="A1855" t="s">
        <v>458</v>
      </c>
      <c r="B1855" t="s">
        <v>1990</v>
      </c>
      <c r="C1855" t="s">
        <v>6265</v>
      </c>
      <c r="D1855" t="s">
        <v>6266</v>
      </c>
      <c r="E1855" t="s">
        <v>458</v>
      </c>
      <c r="F1855" t="s">
        <v>24</v>
      </c>
      <c r="G1855" t="s">
        <v>24</v>
      </c>
      <c r="H1855">
        <f>692*(1.01^10)</f>
        <v>764.39851078455365</v>
      </c>
      <c r="I1855">
        <f>3012*(1.01^10)</f>
        <v>3327.1218417385485</v>
      </c>
      <c r="J1855" t="s">
        <v>6267</v>
      </c>
      <c r="K1855">
        <f t="shared" si="28"/>
        <v>24.722253143595669</v>
      </c>
    </row>
    <row r="1856" spans="1:11" x14ac:dyDescent="0.2">
      <c r="A1856" t="s">
        <v>458</v>
      </c>
      <c r="B1856" t="s">
        <v>1990</v>
      </c>
      <c r="C1856" t="s">
        <v>6268</v>
      </c>
      <c r="D1856" t="s">
        <v>6269</v>
      </c>
      <c r="E1856" t="s">
        <v>152</v>
      </c>
      <c r="F1856" t="s">
        <v>24</v>
      </c>
      <c r="G1856" t="s">
        <v>24</v>
      </c>
      <c r="H1856">
        <f>868*(1.01^10)</f>
        <v>958.81200485692568</v>
      </c>
      <c r="I1856">
        <f>5200*(1.01^10)</f>
        <v>5744.0350521382643</v>
      </c>
      <c r="J1856" t="s">
        <v>6270</v>
      </c>
      <c r="K1856">
        <f t="shared" si="28"/>
        <v>39.664885406011294</v>
      </c>
    </row>
    <row r="1857" spans="1:11" x14ac:dyDescent="0.2">
      <c r="A1857" t="s">
        <v>458</v>
      </c>
      <c r="B1857" t="s">
        <v>1990</v>
      </c>
      <c r="C1857" t="s">
        <v>6271</v>
      </c>
      <c r="D1857" t="s">
        <v>6272</v>
      </c>
      <c r="E1857" t="s">
        <v>356</v>
      </c>
      <c r="F1857" t="s">
        <v>12</v>
      </c>
      <c r="G1857" t="s">
        <v>24</v>
      </c>
      <c r="H1857">
        <f>4521*(1.01^10)</f>
        <v>4993.9966289840568</v>
      </c>
      <c r="I1857">
        <f>25864*(1.01^10)</f>
        <v>28569.9466516354</v>
      </c>
      <c r="J1857" t="s">
        <v>6273</v>
      </c>
      <c r="K1857">
        <f t="shared" si="28"/>
        <v>81.876118756430017</v>
      </c>
    </row>
    <row r="1858" spans="1:11" x14ac:dyDescent="0.2">
      <c r="A1858" t="s">
        <v>458</v>
      </c>
      <c r="B1858" t="s">
        <v>1990</v>
      </c>
      <c r="C1858" t="s">
        <v>6274</v>
      </c>
      <c r="D1858" t="s">
        <v>6275</v>
      </c>
      <c r="E1858" t="s">
        <v>405</v>
      </c>
      <c r="F1858" t="s">
        <v>24</v>
      </c>
      <c r="G1858" t="s">
        <v>12</v>
      </c>
      <c r="H1858">
        <f>1847*(1.01^10)</f>
        <v>2040.2370656344951</v>
      </c>
      <c r="I1858">
        <f>8697*(1.01^10)</f>
        <v>9606.8986247012472</v>
      </c>
      <c r="J1858" t="s">
        <v>6276</v>
      </c>
      <c r="K1858">
        <f t="shared" si="28"/>
        <v>36.80082681331529</v>
      </c>
    </row>
    <row r="1859" spans="1:11" x14ac:dyDescent="0.2">
      <c r="A1859" t="s">
        <v>318</v>
      </c>
      <c r="B1859" t="s">
        <v>438</v>
      </c>
      <c r="C1859" t="s">
        <v>6277</v>
      </c>
      <c r="D1859" t="s">
        <v>6278</v>
      </c>
      <c r="E1859" t="s">
        <v>1387</v>
      </c>
      <c r="F1859" t="s">
        <v>92</v>
      </c>
      <c r="G1859" t="s">
        <v>24</v>
      </c>
      <c r="H1859">
        <f>27180*(1.01^10)</f>
        <v>30023.629368676546</v>
      </c>
      <c r="I1859">
        <f>163380*(1.01^10)</f>
        <v>180473.16284968265</v>
      </c>
      <c r="J1859" t="s">
        <v>6279</v>
      </c>
      <c r="K1859">
        <f t="shared" ref="K1859:K1922" si="29">I1859/J1859</f>
        <v>174.03390824463128</v>
      </c>
    </row>
    <row r="1860" spans="1:11" x14ac:dyDescent="0.2">
      <c r="A1860" t="s">
        <v>318</v>
      </c>
      <c r="B1860" t="s">
        <v>438</v>
      </c>
      <c r="C1860" t="s">
        <v>6280</v>
      </c>
      <c r="D1860" t="s">
        <v>6281</v>
      </c>
      <c r="E1860" t="s">
        <v>422</v>
      </c>
      <c r="F1860" t="s">
        <v>24</v>
      </c>
      <c r="G1860" t="s">
        <v>24</v>
      </c>
      <c r="H1860">
        <f>9691*(1.01^10)</f>
        <v>10704.893017359986</v>
      </c>
      <c r="I1860">
        <f>53901*(1.01^10)</f>
        <v>59540.237181789344</v>
      </c>
      <c r="J1860" t="s">
        <v>2726</v>
      </c>
      <c r="K1860">
        <f t="shared" si="29"/>
        <v>257.74994450991056</v>
      </c>
    </row>
    <row r="1861" spans="1:11" x14ac:dyDescent="0.2">
      <c r="A1861" t="s">
        <v>318</v>
      </c>
      <c r="B1861" t="s">
        <v>438</v>
      </c>
      <c r="C1861" t="s">
        <v>6282</v>
      </c>
      <c r="D1861" t="s">
        <v>6283</v>
      </c>
      <c r="E1861" t="s">
        <v>313</v>
      </c>
      <c r="F1861" t="s">
        <v>24</v>
      </c>
      <c r="G1861" t="s">
        <v>24</v>
      </c>
      <c r="H1861">
        <f>10540*(1.01^10)</f>
        <v>11642.717201834099</v>
      </c>
      <c r="I1861">
        <f>68123*(1.01^10)</f>
        <v>75250.173049387507</v>
      </c>
      <c r="J1861" t="s">
        <v>63</v>
      </c>
      <c r="K1861">
        <f t="shared" si="29"/>
        <v>246.72187885045085</v>
      </c>
    </row>
    <row r="1862" spans="1:11" x14ac:dyDescent="0.2">
      <c r="A1862" t="s">
        <v>318</v>
      </c>
      <c r="B1862" t="s">
        <v>438</v>
      </c>
      <c r="C1862" t="s">
        <v>6284</v>
      </c>
      <c r="D1862" t="s">
        <v>6285</v>
      </c>
      <c r="E1862" t="s">
        <v>2777</v>
      </c>
      <c r="F1862" t="s">
        <v>24</v>
      </c>
      <c r="G1862" t="s">
        <v>12</v>
      </c>
      <c r="H1862">
        <f>12690*(1.01^10)</f>
        <v>14017.654771468187</v>
      </c>
      <c r="I1862">
        <f>71844*(1.01^10)</f>
        <v>79360.471978042595</v>
      </c>
      <c r="J1862" t="s">
        <v>1522</v>
      </c>
      <c r="K1862">
        <f t="shared" si="29"/>
        <v>166.7236806261399</v>
      </c>
    </row>
    <row r="1863" spans="1:11" x14ac:dyDescent="0.2">
      <c r="A1863" t="s">
        <v>318</v>
      </c>
      <c r="B1863" t="s">
        <v>438</v>
      </c>
      <c r="C1863" t="s">
        <v>6286</v>
      </c>
      <c r="D1863" t="s">
        <v>6287</v>
      </c>
      <c r="E1863" t="s">
        <v>705</v>
      </c>
      <c r="F1863" t="s">
        <v>5</v>
      </c>
      <c r="G1863" t="s">
        <v>24</v>
      </c>
      <c r="H1863">
        <f>10913*(1.01^10)</f>
        <v>12054.741254612478</v>
      </c>
      <c r="I1863">
        <f>58536*(1.01^10)</f>
        <v>64660.160733070283</v>
      </c>
      <c r="J1863" t="s">
        <v>2802</v>
      </c>
      <c r="K1863">
        <f t="shared" si="29"/>
        <v>141.48831670256078</v>
      </c>
    </row>
    <row r="1864" spans="1:11" x14ac:dyDescent="0.2">
      <c r="A1864" t="s">
        <v>318</v>
      </c>
      <c r="B1864" t="s">
        <v>438</v>
      </c>
      <c r="C1864" t="s">
        <v>6288</v>
      </c>
      <c r="D1864" t="s">
        <v>6289</v>
      </c>
      <c r="E1864" t="s">
        <v>667</v>
      </c>
      <c r="F1864" t="s">
        <v>152</v>
      </c>
      <c r="G1864" t="s">
        <v>24</v>
      </c>
      <c r="H1864">
        <f>12397*(1.01^10)</f>
        <v>13694.000488722706</v>
      </c>
      <c r="I1864">
        <f>63364*(1.01^10)</f>
        <v>69993.276354555579</v>
      </c>
      <c r="J1864" t="s">
        <v>4776</v>
      </c>
      <c r="K1864">
        <f t="shared" si="29"/>
        <v>91.494478894843894</v>
      </c>
    </row>
    <row r="1865" spans="1:11" x14ac:dyDescent="0.2">
      <c r="A1865" t="s">
        <v>318</v>
      </c>
      <c r="B1865" t="s">
        <v>660</v>
      </c>
      <c r="C1865" t="s">
        <v>6290</v>
      </c>
      <c r="D1865" t="s">
        <v>6291</v>
      </c>
      <c r="E1865" t="s">
        <v>619</v>
      </c>
      <c r="F1865" t="s">
        <v>12</v>
      </c>
      <c r="G1865" t="s">
        <v>24</v>
      </c>
      <c r="H1865">
        <f>5175*(1.01^10)</f>
        <v>5716.4194990029846</v>
      </c>
      <c r="I1865">
        <f>27742*(1.01^10)</f>
        <v>30644.427003157642</v>
      </c>
      <c r="J1865" t="s">
        <v>6292</v>
      </c>
      <c r="K1865">
        <f t="shared" si="29"/>
        <v>24.263204278034554</v>
      </c>
    </row>
    <row r="1866" spans="1:11" x14ac:dyDescent="0.2">
      <c r="A1866" t="s">
        <v>318</v>
      </c>
      <c r="B1866" t="s">
        <v>660</v>
      </c>
      <c r="C1866" t="s">
        <v>6293</v>
      </c>
      <c r="D1866" t="s">
        <v>6294</v>
      </c>
      <c r="E1866" t="s">
        <v>1656</v>
      </c>
      <c r="F1866" t="s">
        <v>24</v>
      </c>
      <c r="G1866" t="s">
        <v>24</v>
      </c>
      <c r="H1866">
        <f>4653*(1.01^10)</f>
        <v>5139.8067495383357</v>
      </c>
      <c r="I1866">
        <f>28056*(1.01^10)</f>
        <v>30991.278350536759</v>
      </c>
      <c r="J1866" t="s">
        <v>6295</v>
      </c>
      <c r="K1866">
        <f t="shared" si="29"/>
        <v>25.955844514687403</v>
      </c>
    </row>
    <row r="1867" spans="1:11" x14ac:dyDescent="0.2">
      <c r="A1867" t="s">
        <v>318</v>
      </c>
      <c r="B1867" t="s">
        <v>660</v>
      </c>
      <c r="C1867" t="s">
        <v>6296</v>
      </c>
      <c r="D1867" t="s">
        <v>6297</v>
      </c>
      <c r="E1867" t="s">
        <v>520</v>
      </c>
      <c r="F1867" t="s">
        <v>24</v>
      </c>
      <c r="G1867" t="s">
        <v>12</v>
      </c>
      <c r="H1867">
        <f>8643*(1.01^10)</f>
        <v>9547.2490299290421</v>
      </c>
      <c r="I1867">
        <f>48182*(1.01^10)</f>
        <v>53222.903246562666</v>
      </c>
      <c r="J1867" t="s">
        <v>6298</v>
      </c>
      <c r="K1867">
        <f t="shared" si="29"/>
        <v>62.031355765224554</v>
      </c>
    </row>
    <row r="1868" spans="1:11" x14ac:dyDescent="0.2">
      <c r="A1868" t="s">
        <v>318</v>
      </c>
      <c r="B1868" t="s">
        <v>660</v>
      </c>
      <c r="C1868" t="s">
        <v>6299</v>
      </c>
      <c r="D1868" t="s">
        <v>6300</v>
      </c>
      <c r="E1868" t="s">
        <v>164</v>
      </c>
      <c r="F1868" t="s">
        <v>24</v>
      </c>
      <c r="G1868" t="s">
        <v>24</v>
      </c>
      <c r="H1868">
        <f>6568*(1.01^10)</f>
        <v>7255.1581197007927</v>
      </c>
      <c r="I1868">
        <f>36671*(1.01^10)</f>
        <v>40507.597960954292</v>
      </c>
      <c r="J1868" t="s">
        <v>6301</v>
      </c>
      <c r="K1868">
        <f t="shared" si="29"/>
        <v>37.646466506463099</v>
      </c>
    </row>
    <row r="1869" spans="1:11" x14ac:dyDescent="0.2">
      <c r="A1869" t="s">
        <v>318</v>
      </c>
      <c r="B1869" t="s">
        <v>918</v>
      </c>
      <c r="C1869" t="s">
        <v>6302</v>
      </c>
      <c r="D1869" t="s">
        <v>6303</v>
      </c>
      <c r="E1869" t="s">
        <v>829</v>
      </c>
      <c r="F1869" t="s">
        <v>24</v>
      </c>
      <c r="G1869" t="s">
        <v>24</v>
      </c>
      <c r="H1869">
        <f>4923*(1.01^10)</f>
        <v>5438.0547233993611</v>
      </c>
      <c r="I1869">
        <f>28795*(1.01^10)</f>
        <v>31807.59410121564</v>
      </c>
      <c r="J1869" t="s">
        <v>4846</v>
      </c>
      <c r="K1869">
        <f t="shared" si="29"/>
        <v>28.526990225305507</v>
      </c>
    </row>
    <row r="1870" spans="1:11" x14ac:dyDescent="0.2">
      <c r="A1870" t="s">
        <v>318</v>
      </c>
      <c r="B1870" t="s">
        <v>918</v>
      </c>
      <c r="C1870" t="s">
        <v>6304</v>
      </c>
      <c r="D1870" t="s">
        <v>6305</v>
      </c>
      <c r="E1870" t="s">
        <v>23</v>
      </c>
      <c r="F1870" t="s">
        <v>24</v>
      </c>
      <c r="G1870" t="s">
        <v>24</v>
      </c>
      <c r="H1870">
        <f>3018*(1.01^10)</f>
        <v>3333.7495744910161</v>
      </c>
      <c r="I1870">
        <f>18464*(1.01^10)</f>
        <v>20395.742923592483</v>
      </c>
      <c r="J1870" t="s">
        <v>6306</v>
      </c>
      <c r="K1870">
        <f t="shared" si="29"/>
        <v>19.186964180237521</v>
      </c>
    </row>
    <row r="1871" spans="1:11" x14ac:dyDescent="0.2">
      <c r="A1871" t="s">
        <v>318</v>
      </c>
      <c r="B1871" t="s">
        <v>918</v>
      </c>
      <c r="C1871" t="s">
        <v>6307</v>
      </c>
      <c r="D1871" t="s">
        <v>6308</v>
      </c>
      <c r="E1871" t="s">
        <v>479</v>
      </c>
      <c r="F1871" t="s">
        <v>12</v>
      </c>
      <c r="G1871" t="s">
        <v>24</v>
      </c>
      <c r="H1871">
        <f>5928*(1.01^10)</f>
        <v>6548.1999594376221</v>
      </c>
      <c r="I1871">
        <f>30616*(1.01^10)</f>
        <v>33819.110991589441</v>
      </c>
      <c r="J1871" t="s">
        <v>2763</v>
      </c>
      <c r="K1871">
        <f t="shared" si="29"/>
        <v>40.992861807987204</v>
      </c>
    </row>
    <row r="1872" spans="1:11" x14ac:dyDescent="0.2">
      <c r="A1872" t="s">
        <v>318</v>
      </c>
      <c r="B1872" t="s">
        <v>918</v>
      </c>
      <c r="C1872" t="s">
        <v>6309</v>
      </c>
      <c r="D1872" t="s">
        <v>6310</v>
      </c>
      <c r="E1872" t="s">
        <v>3118</v>
      </c>
      <c r="F1872" t="s">
        <v>17</v>
      </c>
      <c r="G1872" t="s">
        <v>11</v>
      </c>
      <c r="H1872">
        <f>31259*(1.01^10)</f>
        <v>34529.383018228851</v>
      </c>
      <c r="I1872">
        <f>174138*(1.01^10)</f>
        <v>192356.68767485637</v>
      </c>
      <c r="J1872" t="s">
        <v>6311</v>
      </c>
      <c r="K1872">
        <f t="shared" si="29"/>
        <v>326.02828419467181</v>
      </c>
    </row>
    <row r="1873" spans="1:11" x14ac:dyDescent="0.2">
      <c r="A1873" t="s">
        <v>318</v>
      </c>
      <c r="B1873" t="s">
        <v>918</v>
      </c>
      <c r="C1873" t="s">
        <v>6312</v>
      </c>
      <c r="D1873" t="s">
        <v>6313</v>
      </c>
      <c r="E1873" t="s">
        <v>67</v>
      </c>
      <c r="F1873" t="s">
        <v>12</v>
      </c>
      <c r="G1873" t="s">
        <v>24</v>
      </c>
      <c r="H1873">
        <f>3961*(1.01^10)</f>
        <v>4375.4082387537819</v>
      </c>
      <c r="I1873">
        <f>22130*(1.01^10)</f>
        <v>24445.28763534996</v>
      </c>
      <c r="J1873" t="s">
        <v>238</v>
      </c>
      <c r="K1873">
        <f t="shared" si="29"/>
        <v>25.020765235772732</v>
      </c>
    </row>
    <row r="1874" spans="1:11" x14ac:dyDescent="0.2">
      <c r="A1874" t="s">
        <v>318</v>
      </c>
      <c r="B1874" t="s">
        <v>966</v>
      </c>
      <c r="C1874" t="s">
        <v>6314</v>
      </c>
      <c r="D1874" t="s">
        <v>6315</v>
      </c>
      <c r="E1874" t="s">
        <v>318</v>
      </c>
      <c r="F1874" t="s">
        <v>24</v>
      </c>
      <c r="G1874" t="s">
        <v>17</v>
      </c>
      <c r="H1874">
        <f>12589*(1.01^10)</f>
        <v>13906.087936801656</v>
      </c>
      <c r="I1874">
        <f>61882*(1.01^10)</f>
        <v>68356.226364696166</v>
      </c>
      <c r="J1874" t="s">
        <v>503</v>
      </c>
      <c r="K1874">
        <f t="shared" si="29"/>
        <v>604.92235720970064</v>
      </c>
    </row>
    <row r="1875" spans="1:11" x14ac:dyDescent="0.2">
      <c r="A1875" t="s">
        <v>318</v>
      </c>
      <c r="B1875" t="s">
        <v>966</v>
      </c>
      <c r="C1875" t="s">
        <v>6316</v>
      </c>
      <c r="D1875" t="s">
        <v>6317</v>
      </c>
      <c r="E1875" t="s">
        <v>458</v>
      </c>
      <c r="F1875" t="s">
        <v>24</v>
      </c>
      <c r="G1875" t="s">
        <v>17</v>
      </c>
      <c r="H1875">
        <f>13009*(1.01^10)</f>
        <v>14370.029229474363</v>
      </c>
      <c r="I1875">
        <f>62778*(1.01^10)</f>
        <v>69345.967789064613</v>
      </c>
      <c r="J1875" t="s">
        <v>2873</v>
      </c>
      <c r="K1875">
        <f t="shared" si="29"/>
        <v>420.27859266099767</v>
      </c>
    </row>
    <row r="1876" spans="1:11" x14ac:dyDescent="0.2">
      <c r="A1876" t="s">
        <v>318</v>
      </c>
      <c r="B1876" t="s">
        <v>966</v>
      </c>
      <c r="C1876" t="s">
        <v>6318</v>
      </c>
      <c r="D1876" t="s">
        <v>6319</v>
      </c>
      <c r="E1876" t="s">
        <v>1340</v>
      </c>
      <c r="F1876" t="s">
        <v>12</v>
      </c>
      <c r="G1876" t="s">
        <v>11</v>
      </c>
      <c r="H1876">
        <f>20982*(1.01^10)</f>
        <v>23177.181435377897</v>
      </c>
      <c r="I1876">
        <f>112739*(1.01^10)</f>
        <v>124533.99379673382</v>
      </c>
      <c r="J1876" t="s">
        <v>507</v>
      </c>
      <c r="K1876">
        <f t="shared" si="29"/>
        <v>571.25685227859549</v>
      </c>
    </row>
    <row r="1877" spans="1:11" x14ac:dyDescent="0.2">
      <c r="A1877" t="s">
        <v>318</v>
      </c>
      <c r="B1877" t="s">
        <v>2328</v>
      </c>
      <c r="C1877" t="s">
        <v>6320</v>
      </c>
      <c r="D1877" t="s">
        <v>6321</v>
      </c>
      <c r="E1877" t="s">
        <v>411</v>
      </c>
      <c r="F1877" t="s">
        <v>24</v>
      </c>
      <c r="G1877" t="s">
        <v>12</v>
      </c>
      <c r="H1877">
        <f>15785*(1.01^10)</f>
        <v>17436.460249615866</v>
      </c>
      <c r="I1877">
        <f>87377*(1.01^10)</f>
        <v>96518.567452054835</v>
      </c>
      <c r="J1877" t="s">
        <v>1545</v>
      </c>
      <c r="K1877">
        <f t="shared" si="29"/>
        <v>1532.0407532072195</v>
      </c>
    </row>
    <row r="1878" spans="1:11" x14ac:dyDescent="0.2">
      <c r="A1878" t="s">
        <v>318</v>
      </c>
      <c r="B1878" t="s">
        <v>2328</v>
      </c>
      <c r="C1878" t="s">
        <v>6322</v>
      </c>
      <c r="D1878" t="s">
        <v>6323</v>
      </c>
      <c r="E1878" t="s">
        <v>674</v>
      </c>
      <c r="F1878" t="s">
        <v>92</v>
      </c>
      <c r="G1878" t="s">
        <v>92</v>
      </c>
      <c r="H1878">
        <f>41608*(1.01^10)</f>
        <v>45961.117394109409</v>
      </c>
      <c r="I1878">
        <f>199310*(1.01^10)</f>
        <v>220162.23581570722</v>
      </c>
      <c r="J1878" t="s">
        <v>2623</v>
      </c>
      <c r="K1878">
        <f t="shared" si="29"/>
        <v>843.53347055826521</v>
      </c>
    </row>
    <row r="1879" spans="1:11" x14ac:dyDescent="0.2">
      <c r="A1879" t="s">
        <v>318</v>
      </c>
      <c r="B1879" t="s">
        <v>2328</v>
      </c>
      <c r="C1879" t="s">
        <v>6324</v>
      </c>
      <c r="D1879" t="s">
        <v>6325</v>
      </c>
      <c r="E1879" t="s">
        <v>427</v>
      </c>
      <c r="F1879" t="s">
        <v>108</v>
      </c>
      <c r="G1879" t="s">
        <v>11</v>
      </c>
      <c r="H1879">
        <f>28572*(1.01^10)</f>
        <v>31561.263367248943</v>
      </c>
      <c r="I1879">
        <f>135481*(1.01^10)</f>
        <v>149655.31017283542</v>
      </c>
      <c r="J1879" t="s">
        <v>396</v>
      </c>
      <c r="K1879">
        <f t="shared" si="29"/>
        <v>787.65952722544955</v>
      </c>
    </row>
    <row r="1880" spans="1:11" x14ac:dyDescent="0.2">
      <c r="A1880" t="s">
        <v>318</v>
      </c>
      <c r="B1880" t="s">
        <v>455</v>
      </c>
      <c r="C1880" t="s">
        <v>6326</v>
      </c>
      <c r="D1880" t="s">
        <v>6327</v>
      </c>
      <c r="E1880" t="s">
        <v>1027</v>
      </c>
      <c r="F1880" t="s">
        <v>458</v>
      </c>
      <c r="G1880" t="s">
        <v>17</v>
      </c>
      <c r="H1880">
        <f>18015*(1.01^10)</f>
        <v>19899.767589282852</v>
      </c>
      <c r="I1880">
        <f>84856*(1.01^10)</f>
        <v>93733.815073893187</v>
      </c>
      <c r="J1880" t="s">
        <v>725</v>
      </c>
      <c r="K1880">
        <f t="shared" si="29"/>
        <v>431.95306485665066</v>
      </c>
    </row>
    <row r="1881" spans="1:11" x14ac:dyDescent="0.2">
      <c r="A1881" t="s">
        <v>318</v>
      </c>
      <c r="B1881" t="s">
        <v>455</v>
      </c>
      <c r="C1881" t="s">
        <v>6328</v>
      </c>
      <c r="D1881" t="s">
        <v>6329</v>
      </c>
      <c r="E1881" t="s">
        <v>356</v>
      </c>
      <c r="F1881" t="s">
        <v>5</v>
      </c>
      <c r="G1881" t="s">
        <v>17</v>
      </c>
      <c r="H1881">
        <f>15561*(1.01^10)</f>
        <v>17189.024893523758</v>
      </c>
      <c r="I1881">
        <f>70665*(1.01^10)</f>
        <v>78058.122492182782</v>
      </c>
      <c r="J1881" t="s">
        <v>67</v>
      </c>
      <c r="K1881">
        <f t="shared" si="29"/>
        <v>1219.658163940356</v>
      </c>
    </row>
    <row r="1882" spans="1:11" x14ac:dyDescent="0.2">
      <c r="A1882" t="s">
        <v>318</v>
      </c>
      <c r="B1882" t="s">
        <v>455</v>
      </c>
      <c r="C1882" t="s">
        <v>6330</v>
      </c>
      <c r="D1882" t="s">
        <v>6331</v>
      </c>
      <c r="E1882" t="s">
        <v>5</v>
      </c>
      <c r="F1882" t="s">
        <v>24</v>
      </c>
      <c r="G1882" t="s">
        <v>5</v>
      </c>
      <c r="H1882">
        <f>48862*(1.01^10)</f>
        <v>53974.046291842285</v>
      </c>
      <c r="I1882">
        <f>221422*(1.01^10)</f>
        <v>244587.64025279979</v>
      </c>
      <c r="J1882" t="s">
        <v>51</v>
      </c>
      <c r="K1882">
        <f t="shared" si="29"/>
        <v>4076.4606708799965</v>
      </c>
    </row>
    <row r="1883" spans="1:11" x14ac:dyDescent="0.2">
      <c r="A1883" t="s">
        <v>318</v>
      </c>
      <c r="B1883" t="s">
        <v>455</v>
      </c>
      <c r="C1883" t="s">
        <v>6332</v>
      </c>
      <c r="D1883" t="s">
        <v>6333</v>
      </c>
      <c r="E1883" t="s">
        <v>56</v>
      </c>
      <c r="F1883" t="s">
        <v>24</v>
      </c>
      <c r="G1883" t="s">
        <v>92</v>
      </c>
      <c r="H1883">
        <f>28718*(1.01^10)</f>
        <v>31722.538197558977</v>
      </c>
      <c r="I1883">
        <f>141049*(1.01^10)</f>
        <v>155805.84616712501</v>
      </c>
      <c r="J1883" t="s">
        <v>631</v>
      </c>
      <c r="K1883">
        <f t="shared" si="29"/>
        <v>875.31374251193824</v>
      </c>
    </row>
    <row r="1884" spans="1:11" x14ac:dyDescent="0.2">
      <c r="A1884" t="s">
        <v>318</v>
      </c>
      <c r="B1884" t="s">
        <v>700</v>
      </c>
      <c r="C1884" t="s">
        <v>6334</v>
      </c>
      <c r="D1884" t="s">
        <v>6335</v>
      </c>
      <c r="E1884" t="s">
        <v>180</v>
      </c>
      <c r="F1884" t="s">
        <v>12</v>
      </c>
      <c r="G1884" t="s">
        <v>12</v>
      </c>
      <c r="H1884">
        <f>8355*(1.01^10)</f>
        <v>9229.1178578106155</v>
      </c>
      <c r="I1884">
        <f>43838*(1.01^10)</f>
        <v>48424.424733776395</v>
      </c>
      <c r="J1884" t="s">
        <v>1263</v>
      </c>
      <c r="K1884">
        <f t="shared" si="29"/>
        <v>208.72596868007068</v>
      </c>
    </row>
    <row r="1885" spans="1:11" x14ac:dyDescent="0.2">
      <c r="A1885" t="s">
        <v>318</v>
      </c>
      <c r="B1885" t="s">
        <v>700</v>
      </c>
      <c r="C1885" t="s">
        <v>6336</v>
      </c>
      <c r="D1885" t="s">
        <v>6337</v>
      </c>
      <c r="E1885" t="s">
        <v>998</v>
      </c>
      <c r="F1885" t="s">
        <v>24</v>
      </c>
      <c r="G1885" t="s">
        <v>12</v>
      </c>
      <c r="H1885">
        <f>17377*(1.01^10)</f>
        <v>19195.018673270504</v>
      </c>
      <c r="I1885">
        <f>86162*(1.01^10)</f>
        <v>95176.451569680226</v>
      </c>
      <c r="J1885" t="s">
        <v>1410</v>
      </c>
      <c r="K1885">
        <f t="shared" si="29"/>
        <v>370.33638743066234</v>
      </c>
    </row>
    <row r="1886" spans="1:11" x14ac:dyDescent="0.2">
      <c r="A1886" t="s">
        <v>318</v>
      </c>
      <c r="B1886" t="s">
        <v>700</v>
      </c>
      <c r="C1886" t="s">
        <v>6338</v>
      </c>
      <c r="D1886" t="s">
        <v>6339</v>
      </c>
      <c r="E1886" t="s">
        <v>16</v>
      </c>
      <c r="F1886" t="s">
        <v>17</v>
      </c>
      <c r="G1886" t="s">
        <v>382</v>
      </c>
      <c r="H1886">
        <f>50396*(1.01^10)</f>
        <v>55668.536632223077</v>
      </c>
      <c r="I1886">
        <f>244089*(1.01^10)</f>
        <v>269626.10996949556</v>
      </c>
      <c r="J1886" t="s">
        <v>148</v>
      </c>
      <c r="K1886">
        <f t="shared" si="29"/>
        <v>2751.2868364234241</v>
      </c>
    </row>
    <row r="1887" spans="1:11" x14ac:dyDescent="0.2">
      <c r="A1887" t="s">
        <v>318</v>
      </c>
      <c r="B1887" t="s">
        <v>700</v>
      </c>
      <c r="C1887" t="s">
        <v>6340</v>
      </c>
      <c r="D1887" t="s">
        <v>6341</v>
      </c>
      <c r="E1887" t="s">
        <v>1506</v>
      </c>
      <c r="F1887" t="s">
        <v>12</v>
      </c>
      <c r="G1887" t="s">
        <v>12</v>
      </c>
      <c r="H1887">
        <f>15996*(1.01^10)</f>
        <v>17669.535518077631</v>
      </c>
      <c r="I1887">
        <f>82024*(1.01^10)</f>
        <v>90605.525214728652</v>
      </c>
      <c r="J1887" t="s">
        <v>479</v>
      </c>
      <c r="K1887">
        <f t="shared" si="29"/>
        <v>742.66823946498891</v>
      </c>
    </row>
    <row r="1888" spans="1:11" x14ac:dyDescent="0.2">
      <c r="A1888" t="s">
        <v>318</v>
      </c>
      <c r="B1888" t="s">
        <v>1658</v>
      </c>
      <c r="C1888" t="s">
        <v>6342</v>
      </c>
      <c r="D1888" t="s">
        <v>6343</v>
      </c>
      <c r="E1888" t="s">
        <v>313</v>
      </c>
      <c r="F1888" t="s">
        <v>24</v>
      </c>
      <c r="G1888" t="s">
        <v>24</v>
      </c>
      <c r="H1888">
        <f>6102*(1.01^10)</f>
        <v>6740.4042092591717</v>
      </c>
      <c r="I1888">
        <f>31004*(1.01^10)</f>
        <v>34247.704376248992</v>
      </c>
      <c r="J1888" t="s">
        <v>5237</v>
      </c>
      <c r="K1888">
        <f t="shared" si="29"/>
        <v>33.975897198659716</v>
      </c>
    </row>
    <row r="1889" spans="1:11" x14ac:dyDescent="0.2">
      <c r="A1889" t="s">
        <v>318</v>
      </c>
      <c r="B1889" t="s">
        <v>1658</v>
      </c>
      <c r="C1889" t="s">
        <v>6344</v>
      </c>
      <c r="D1889" t="s">
        <v>6345</v>
      </c>
      <c r="E1889" t="s">
        <v>121</v>
      </c>
      <c r="F1889" t="s">
        <v>24</v>
      </c>
      <c r="G1889" t="s">
        <v>12</v>
      </c>
      <c r="H1889">
        <f>20741*(1.01^10)</f>
        <v>22910.967503153799</v>
      </c>
      <c r="I1889">
        <f>107378*(1.01^10)</f>
        <v>118612.11458240435</v>
      </c>
      <c r="J1889" t="s">
        <v>4619</v>
      </c>
      <c r="K1889">
        <f t="shared" si="29"/>
        <v>99.008442890153887</v>
      </c>
    </row>
    <row r="1890" spans="1:11" x14ac:dyDescent="0.2">
      <c r="A1890" t="s">
        <v>318</v>
      </c>
      <c r="B1890" t="s">
        <v>1658</v>
      </c>
      <c r="C1890" t="s">
        <v>6346</v>
      </c>
      <c r="D1890" t="s">
        <v>6347</v>
      </c>
      <c r="E1890" t="s">
        <v>789</v>
      </c>
      <c r="F1890" t="s">
        <v>24</v>
      </c>
      <c r="G1890" t="s">
        <v>24</v>
      </c>
      <c r="H1890">
        <f>2977*(1.01^10)</f>
        <v>3288.4600673491564</v>
      </c>
      <c r="I1890">
        <f>16717*(1.01^10)</f>
        <v>18465.968070499111</v>
      </c>
      <c r="J1890" t="s">
        <v>6348</v>
      </c>
      <c r="K1890">
        <f t="shared" si="29"/>
        <v>16.726420353712964</v>
      </c>
    </row>
    <row r="1891" spans="1:11" x14ac:dyDescent="0.2">
      <c r="A1891" t="s">
        <v>318</v>
      </c>
      <c r="B1891" t="s">
        <v>1658</v>
      </c>
      <c r="C1891" t="s">
        <v>6349</v>
      </c>
      <c r="D1891" t="s">
        <v>6350</v>
      </c>
      <c r="E1891" t="s">
        <v>47</v>
      </c>
      <c r="F1891" t="s">
        <v>24</v>
      </c>
      <c r="G1891" t="s">
        <v>24</v>
      </c>
      <c r="H1891">
        <f>3323*(1.01^10)</f>
        <v>3670.6593227414332</v>
      </c>
      <c r="I1891">
        <f>16539*(1.01^10)</f>
        <v>18269.345332175915</v>
      </c>
      <c r="J1891" t="s">
        <v>3332</v>
      </c>
      <c r="K1891">
        <f t="shared" si="29"/>
        <v>26.906252330155986</v>
      </c>
    </row>
    <row r="1892" spans="1:11" x14ac:dyDescent="0.2">
      <c r="A1892" t="s">
        <v>318</v>
      </c>
      <c r="B1892" t="s">
        <v>1658</v>
      </c>
      <c r="C1892" t="s">
        <v>6351</v>
      </c>
      <c r="D1892" t="s">
        <v>6352</v>
      </c>
      <c r="E1892" t="s">
        <v>72</v>
      </c>
      <c r="F1892" t="s">
        <v>24</v>
      </c>
      <c r="G1892" t="s">
        <v>24</v>
      </c>
      <c r="H1892">
        <f>2551*(1.01^10)</f>
        <v>2817.8910419239833</v>
      </c>
      <c r="I1892">
        <f>12360*(1.01^10)</f>
        <v>13653.129470082491</v>
      </c>
      <c r="J1892" t="s">
        <v>6353</v>
      </c>
      <c r="K1892">
        <f t="shared" si="29"/>
        <v>24.600233279427911</v>
      </c>
    </row>
    <row r="1893" spans="1:11" x14ac:dyDescent="0.2">
      <c r="A1893" t="s">
        <v>318</v>
      </c>
      <c r="B1893" t="s">
        <v>2915</v>
      </c>
      <c r="C1893" t="s">
        <v>6354</v>
      </c>
      <c r="D1893" t="s">
        <v>6355</v>
      </c>
      <c r="E1893" t="s">
        <v>121</v>
      </c>
      <c r="F1893" t="s">
        <v>17</v>
      </c>
      <c r="G1893" t="s">
        <v>24</v>
      </c>
      <c r="H1893">
        <f>4038*(1.01^10)</f>
        <v>4460.4641424104448</v>
      </c>
      <c r="I1893">
        <f>19865*(1.01^10)</f>
        <v>21943.318521293582</v>
      </c>
      <c r="J1893" t="s">
        <v>3635</v>
      </c>
      <c r="K1893">
        <f t="shared" si="29"/>
        <v>50.098900733546991</v>
      </c>
    </row>
    <row r="1894" spans="1:11" x14ac:dyDescent="0.2">
      <c r="A1894" t="s">
        <v>318</v>
      </c>
      <c r="B1894" t="s">
        <v>2915</v>
      </c>
      <c r="C1894" t="s">
        <v>6356</v>
      </c>
      <c r="D1894" t="s">
        <v>6357</v>
      </c>
      <c r="E1894" t="s">
        <v>36</v>
      </c>
      <c r="F1894" t="s">
        <v>11</v>
      </c>
      <c r="G1894" t="s">
        <v>12</v>
      </c>
      <c r="H1894">
        <f>8277*(1.01^10)</f>
        <v>9142.9573320285417</v>
      </c>
      <c r="I1894">
        <f>39245*(1.01^10)</f>
        <v>43350.895311762732</v>
      </c>
      <c r="J1894" t="s">
        <v>3028</v>
      </c>
      <c r="K1894">
        <f t="shared" si="29"/>
        <v>55.936639111951912</v>
      </c>
    </row>
    <row r="1895" spans="1:11" x14ac:dyDescent="0.2">
      <c r="A1895" t="s">
        <v>318</v>
      </c>
      <c r="B1895" t="s">
        <v>2915</v>
      </c>
      <c r="C1895" t="s">
        <v>6358</v>
      </c>
      <c r="D1895" t="s">
        <v>6359</v>
      </c>
      <c r="E1895" t="s">
        <v>148</v>
      </c>
      <c r="F1895" t="s">
        <v>24</v>
      </c>
      <c r="G1895" t="s">
        <v>24</v>
      </c>
      <c r="H1895">
        <f>6666*(1.01^10)</f>
        <v>7363.4110879910904</v>
      </c>
      <c r="I1895">
        <f>32133*(1.01^10)</f>
        <v>35494.822755838242</v>
      </c>
      <c r="J1895" t="s">
        <v>2976</v>
      </c>
      <c r="K1895">
        <f t="shared" si="29"/>
        <v>51.666408669342417</v>
      </c>
    </row>
    <row r="1896" spans="1:11" x14ac:dyDescent="0.2">
      <c r="A1896" t="s">
        <v>318</v>
      </c>
      <c r="B1896" t="s">
        <v>2915</v>
      </c>
      <c r="C1896" t="s">
        <v>6360</v>
      </c>
      <c r="D1896" t="s">
        <v>6361</v>
      </c>
      <c r="E1896" t="s">
        <v>1115</v>
      </c>
      <c r="F1896" t="s">
        <v>17</v>
      </c>
      <c r="G1896" t="s">
        <v>24</v>
      </c>
      <c r="H1896">
        <f>9820*(1.01^10)</f>
        <v>10847.38927153803</v>
      </c>
      <c r="I1896">
        <f>52939*(1.01^10)</f>
        <v>58477.590697143765</v>
      </c>
      <c r="J1896" t="s">
        <v>6362</v>
      </c>
      <c r="K1896">
        <f t="shared" si="29"/>
        <v>41.385414506117314</v>
      </c>
    </row>
    <row r="1897" spans="1:11" x14ac:dyDescent="0.2">
      <c r="A1897" t="s">
        <v>274</v>
      </c>
      <c r="B1897" t="s">
        <v>3628</v>
      </c>
      <c r="C1897" t="s">
        <v>6363</v>
      </c>
      <c r="D1897" t="s">
        <v>6364</v>
      </c>
      <c r="E1897" t="s">
        <v>131</v>
      </c>
      <c r="F1897" t="s">
        <v>61</v>
      </c>
      <c r="G1897" t="s">
        <v>17</v>
      </c>
      <c r="H1897">
        <f>9712*(1.01^10)</f>
        <v>10728.09008199362</v>
      </c>
      <c r="I1897">
        <f>47188*(1.01^10)</f>
        <v>52124.908853903929</v>
      </c>
      <c r="J1897" t="s">
        <v>6365</v>
      </c>
      <c r="K1897">
        <f t="shared" si="29"/>
        <v>47.875481147272062</v>
      </c>
    </row>
    <row r="1898" spans="1:11" x14ac:dyDescent="0.2">
      <c r="A1898" t="s">
        <v>274</v>
      </c>
      <c r="B1898" t="s">
        <v>3628</v>
      </c>
      <c r="C1898" t="s">
        <v>6366</v>
      </c>
      <c r="D1898" t="s">
        <v>6367</v>
      </c>
      <c r="E1898" t="s">
        <v>1340</v>
      </c>
      <c r="F1898" t="s">
        <v>382</v>
      </c>
      <c r="G1898" t="s">
        <v>24</v>
      </c>
      <c r="H1898">
        <f>4303*(1.01^10)</f>
        <v>4753.1890056444145</v>
      </c>
      <c r="I1898">
        <f>21309*(1.01^10)</f>
        <v>23538.392870387361</v>
      </c>
      <c r="J1898" t="s">
        <v>6368</v>
      </c>
      <c r="K1898">
        <f t="shared" si="29"/>
        <v>23.548518733442741</v>
      </c>
    </row>
    <row r="1899" spans="1:11" x14ac:dyDescent="0.2">
      <c r="A1899" t="s">
        <v>274</v>
      </c>
      <c r="B1899" t="s">
        <v>3628</v>
      </c>
      <c r="C1899" t="s">
        <v>6369</v>
      </c>
      <c r="D1899" t="s">
        <v>6370</v>
      </c>
      <c r="E1899" t="s">
        <v>796</v>
      </c>
      <c r="F1899" t="s">
        <v>17</v>
      </c>
      <c r="G1899" t="s">
        <v>12</v>
      </c>
      <c r="H1899">
        <f>3716*(1.01^10)</f>
        <v>4104.7758180280371</v>
      </c>
      <c r="I1899">
        <f>17867*(1.01^10)</f>
        <v>19736.283514721996</v>
      </c>
      <c r="J1899" t="s">
        <v>6371</v>
      </c>
      <c r="K1899">
        <f t="shared" si="29"/>
        <v>21.053832342730043</v>
      </c>
    </row>
    <row r="1900" spans="1:11" x14ac:dyDescent="0.2">
      <c r="A1900" t="s">
        <v>274</v>
      </c>
      <c r="B1900" t="s">
        <v>475</v>
      </c>
      <c r="C1900" t="s">
        <v>6372</v>
      </c>
      <c r="D1900" t="s">
        <v>6373</v>
      </c>
      <c r="E1900" t="s">
        <v>108</v>
      </c>
      <c r="F1900" t="s">
        <v>744</v>
      </c>
      <c r="G1900" t="s">
        <v>12</v>
      </c>
      <c r="H1900">
        <f>4280*(1.01^10)</f>
        <v>4727.7826967599567</v>
      </c>
      <c r="I1900">
        <f>19840*(1.01^10)</f>
        <v>21915.702968158301</v>
      </c>
      <c r="J1900" t="s">
        <v>6374</v>
      </c>
      <c r="K1900">
        <f t="shared" si="29"/>
        <v>26.413690287158524</v>
      </c>
    </row>
    <row r="1901" spans="1:11" x14ac:dyDescent="0.2">
      <c r="A1901" t="s">
        <v>274</v>
      </c>
      <c r="B1901" t="s">
        <v>475</v>
      </c>
      <c r="C1901" t="s">
        <v>6375</v>
      </c>
      <c r="D1901" t="s">
        <v>6376</v>
      </c>
      <c r="E1901" t="s">
        <v>44</v>
      </c>
      <c r="F1901" t="s">
        <v>92</v>
      </c>
      <c r="G1901" t="s">
        <v>11</v>
      </c>
      <c r="H1901">
        <f>11695*(1.01^10)</f>
        <v>12918.55575668404</v>
      </c>
      <c r="I1901">
        <f>58487*(1.01^10)</f>
        <v>64606.034248925134</v>
      </c>
      <c r="J1901" t="s">
        <v>6377</v>
      </c>
      <c r="K1901">
        <f t="shared" si="29"/>
        <v>116.870539524105</v>
      </c>
    </row>
    <row r="1902" spans="1:11" x14ac:dyDescent="0.2">
      <c r="A1902" t="s">
        <v>274</v>
      </c>
      <c r="B1902" t="s">
        <v>475</v>
      </c>
      <c r="C1902" t="s">
        <v>6378</v>
      </c>
      <c r="D1902" t="s">
        <v>6379</v>
      </c>
      <c r="E1902" t="s">
        <v>6</v>
      </c>
      <c r="F1902" t="s">
        <v>12</v>
      </c>
      <c r="G1902" t="s">
        <v>24</v>
      </c>
      <c r="H1902">
        <f>1295*(1.01^10)</f>
        <v>1430.4856524075101</v>
      </c>
      <c r="I1902">
        <f>5628*(1.01^10)</f>
        <v>6216.8133218142602</v>
      </c>
      <c r="J1902" t="s">
        <v>5995</v>
      </c>
      <c r="K1902" t="e">
        <f t="shared" si="29"/>
        <v>#VALUE!</v>
      </c>
    </row>
    <row r="1903" spans="1:11" x14ac:dyDescent="0.2">
      <c r="A1903" t="s">
        <v>274</v>
      </c>
      <c r="B1903" t="s">
        <v>1370</v>
      </c>
      <c r="C1903" t="s">
        <v>6380</v>
      </c>
      <c r="D1903" t="s">
        <v>6381</v>
      </c>
      <c r="E1903" t="s">
        <v>313</v>
      </c>
      <c r="F1903" t="s">
        <v>92</v>
      </c>
      <c r="G1903" t="s">
        <v>12</v>
      </c>
      <c r="H1903">
        <f>5233*(1.01^10)</f>
        <v>5780.4875822768345</v>
      </c>
      <c r="I1903">
        <f>26048*(1.01^10)</f>
        <v>28773.197122711063</v>
      </c>
      <c r="J1903" t="s">
        <v>6382</v>
      </c>
      <c r="K1903">
        <f t="shared" si="29"/>
        <v>27.733736672235668</v>
      </c>
    </row>
    <row r="1904" spans="1:11" x14ac:dyDescent="0.2">
      <c r="A1904" t="s">
        <v>274</v>
      </c>
      <c r="B1904" t="s">
        <v>1370</v>
      </c>
      <c r="C1904" t="s">
        <v>6383</v>
      </c>
      <c r="D1904" t="s">
        <v>6384</v>
      </c>
      <c r="E1904" t="s">
        <v>382</v>
      </c>
      <c r="F1904" t="s">
        <v>24</v>
      </c>
      <c r="G1904" t="s">
        <v>24</v>
      </c>
      <c r="H1904">
        <f>2514*(1.01^10)</f>
        <v>2777.0200232837688</v>
      </c>
      <c r="I1904">
        <f>13303*(1.01^10)</f>
        <v>14694.788134345257</v>
      </c>
      <c r="J1904" t="s">
        <v>6385</v>
      </c>
      <c r="K1904">
        <f t="shared" si="29"/>
        <v>28.525260864496278</v>
      </c>
    </row>
    <row r="1905" spans="1:11" x14ac:dyDescent="0.2">
      <c r="A1905" t="s">
        <v>274</v>
      </c>
      <c r="B1905" t="s">
        <v>1370</v>
      </c>
      <c r="C1905" t="s">
        <v>6386</v>
      </c>
      <c r="D1905" t="s">
        <v>6387</v>
      </c>
      <c r="E1905" t="s">
        <v>796</v>
      </c>
      <c r="F1905" t="s">
        <v>11</v>
      </c>
      <c r="G1905" t="s">
        <v>24</v>
      </c>
      <c r="H1905">
        <f>3507*(1.01^10)</f>
        <v>3873.9097938170949</v>
      </c>
      <c r="I1905">
        <f>17128*(1.01^10)</f>
        <v>18919.967764043115</v>
      </c>
      <c r="J1905" t="s">
        <v>6388</v>
      </c>
      <c r="K1905">
        <f t="shared" si="29"/>
        <v>30.670418499615995</v>
      </c>
    </row>
    <row r="1906" spans="1:11" x14ac:dyDescent="0.2">
      <c r="A1906" t="s">
        <v>274</v>
      </c>
      <c r="B1906" t="s">
        <v>1370</v>
      </c>
      <c r="C1906" t="s">
        <v>6378</v>
      </c>
      <c r="D1906" t="s">
        <v>6379</v>
      </c>
      <c r="E1906" t="s">
        <v>405</v>
      </c>
      <c r="F1906" t="s">
        <v>17</v>
      </c>
      <c r="G1906" t="s">
        <v>17</v>
      </c>
      <c r="H1906">
        <f>64495*(1.01^10)</f>
        <v>71242.603978395651</v>
      </c>
      <c r="I1906">
        <f>311731*(1.01^10)</f>
        <v>344344.95977656025</v>
      </c>
      <c r="J1906" t="s">
        <v>6389</v>
      </c>
      <c r="K1906">
        <f t="shared" si="29"/>
        <v>646.4508227918991</v>
      </c>
    </row>
    <row r="1907" spans="1:11" x14ac:dyDescent="0.2">
      <c r="A1907" t="s">
        <v>274</v>
      </c>
      <c r="B1907" t="s">
        <v>1370</v>
      </c>
      <c r="C1907" t="s">
        <v>6390</v>
      </c>
      <c r="D1907" t="s">
        <v>6391</v>
      </c>
      <c r="E1907" t="s">
        <v>61</v>
      </c>
      <c r="F1907" t="s">
        <v>24</v>
      </c>
      <c r="G1907" t="s">
        <v>12</v>
      </c>
      <c r="H1907">
        <f>6775*(1.01^10)</f>
        <v>7483.8148996609125</v>
      </c>
      <c r="I1907">
        <f>32099*(1.01^10)</f>
        <v>35457.265603574262</v>
      </c>
      <c r="J1907" t="s">
        <v>6392</v>
      </c>
      <c r="K1907">
        <f t="shared" si="29"/>
        <v>40.562920393504697</v>
      </c>
    </row>
    <row r="1908" spans="1:11" x14ac:dyDescent="0.2">
      <c r="A1908" t="s">
        <v>274</v>
      </c>
      <c r="B1908" t="s">
        <v>1267</v>
      </c>
      <c r="C1908" t="s">
        <v>6393</v>
      </c>
      <c r="D1908" t="s">
        <v>6394</v>
      </c>
      <c r="E1908" t="s">
        <v>274</v>
      </c>
      <c r="F1908" t="s">
        <v>12</v>
      </c>
      <c r="G1908" t="s">
        <v>24</v>
      </c>
      <c r="H1908">
        <f>3822*(1.01^10)</f>
        <v>4221.8657633216244</v>
      </c>
      <c r="I1908">
        <f>18730*(1.01^10)</f>
        <v>20689.572408951866</v>
      </c>
      <c r="J1908" t="s">
        <v>6395</v>
      </c>
      <c r="K1908">
        <f t="shared" si="29"/>
        <v>28.215874872421605</v>
      </c>
    </row>
    <row r="1909" spans="1:11" x14ac:dyDescent="0.2">
      <c r="A1909" t="s">
        <v>274</v>
      </c>
      <c r="B1909" t="s">
        <v>1267</v>
      </c>
      <c r="C1909" t="s">
        <v>6396</v>
      </c>
      <c r="D1909" t="s">
        <v>6397</v>
      </c>
      <c r="E1909" t="s">
        <v>220</v>
      </c>
      <c r="F1909" t="s">
        <v>92</v>
      </c>
      <c r="G1909" t="s">
        <v>17</v>
      </c>
      <c r="H1909">
        <f>7339*(1.01^10)</f>
        <v>8106.8217783928312</v>
      </c>
      <c r="I1909">
        <f>35931*(1.01^10)</f>
        <v>39690.17758815</v>
      </c>
      <c r="J1909" t="s">
        <v>6398</v>
      </c>
      <c r="K1909">
        <f t="shared" si="29"/>
        <v>40.175497599147704</v>
      </c>
    </row>
    <row r="1910" spans="1:11" x14ac:dyDescent="0.2">
      <c r="A1910" t="s">
        <v>274</v>
      </c>
      <c r="B1910" t="s">
        <v>1267</v>
      </c>
      <c r="C1910" t="s">
        <v>6399</v>
      </c>
      <c r="D1910" t="s">
        <v>6400</v>
      </c>
      <c r="E1910" t="s">
        <v>405</v>
      </c>
      <c r="F1910" t="s">
        <v>24</v>
      </c>
      <c r="G1910" t="s">
        <v>12</v>
      </c>
      <c r="H1910">
        <f>8711*(1.01^10)</f>
        <v>9622.3633344570044</v>
      </c>
      <c r="I1910">
        <f>43040*(1.01^10)</f>
        <v>47542.936277698253</v>
      </c>
      <c r="J1910" t="s">
        <v>6401</v>
      </c>
      <c r="K1910">
        <f t="shared" si="29"/>
        <v>62.66616088378116</v>
      </c>
    </row>
    <row r="1911" spans="1:11" x14ac:dyDescent="0.2">
      <c r="A1911" t="s">
        <v>274</v>
      </c>
      <c r="B1911" t="s">
        <v>1267</v>
      </c>
      <c r="C1911" t="s">
        <v>6402</v>
      </c>
      <c r="D1911" t="s">
        <v>6403</v>
      </c>
      <c r="E1911" t="s">
        <v>427</v>
      </c>
      <c r="F1911" t="s">
        <v>12</v>
      </c>
      <c r="G1911" t="s">
        <v>24</v>
      </c>
      <c r="H1911">
        <f>4479*(1.01^10)</f>
        <v>4947.602499716786</v>
      </c>
      <c r="I1911">
        <f>22137*(1.01^10)</f>
        <v>24453.01999022784</v>
      </c>
      <c r="J1911" t="s">
        <v>6404</v>
      </c>
      <c r="K1911">
        <f t="shared" si="29"/>
        <v>34.636986869639138</v>
      </c>
    </row>
    <row r="1912" spans="1:11" x14ac:dyDescent="0.2">
      <c r="A1912" t="s">
        <v>274</v>
      </c>
      <c r="B1912" t="s">
        <v>1267</v>
      </c>
      <c r="C1912" t="s">
        <v>6405</v>
      </c>
      <c r="D1912" t="s">
        <v>6406</v>
      </c>
      <c r="E1912" t="s">
        <v>11</v>
      </c>
      <c r="F1912" t="s">
        <v>24</v>
      </c>
      <c r="G1912" t="s">
        <v>12</v>
      </c>
      <c r="H1912">
        <f>1169*(1.01^10)</f>
        <v>1291.3032646056984</v>
      </c>
      <c r="I1912">
        <f>5907*(1.01^10)</f>
        <v>6525.0028948039862</v>
      </c>
      <c r="J1912" t="s">
        <v>5995</v>
      </c>
      <c r="K1912" t="e">
        <f t="shared" si="29"/>
        <v>#VALUE!</v>
      </c>
    </row>
    <row r="1913" spans="1:11" x14ac:dyDescent="0.2">
      <c r="A1913" t="s">
        <v>274</v>
      </c>
      <c r="B1913" t="s">
        <v>573</v>
      </c>
      <c r="C1913" t="s">
        <v>6390</v>
      </c>
      <c r="D1913" t="s">
        <v>6391</v>
      </c>
      <c r="E1913" t="s">
        <v>158</v>
      </c>
      <c r="F1913" t="s">
        <v>12</v>
      </c>
      <c r="G1913" t="s">
        <v>24</v>
      </c>
      <c r="H1913">
        <f>1080*(1.01^10)</f>
        <v>1192.9918954441011</v>
      </c>
      <c r="I1913">
        <f>5798*(1.01^10)</f>
        <v>6404.5990831341651</v>
      </c>
      <c r="J1913" t="s">
        <v>5995</v>
      </c>
      <c r="K1913" t="e">
        <f t="shared" si="29"/>
        <v>#VALUE!</v>
      </c>
    </row>
    <row r="1914" spans="1:11" x14ac:dyDescent="0.2">
      <c r="A1914" t="s">
        <v>274</v>
      </c>
      <c r="B1914" t="s">
        <v>573</v>
      </c>
      <c r="C1914" t="s">
        <v>6407</v>
      </c>
      <c r="D1914" t="s">
        <v>6408</v>
      </c>
      <c r="E1914" t="s">
        <v>411</v>
      </c>
      <c r="F1914" t="s">
        <v>12</v>
      </c>
      <c r="G1914" t="s">
        <v>17</v>
      </c>
      <c r="H1914">
        <f>8512*(1.01^10)</f>
        <v>9402.5435315001741</v>
      </c>
      <c r="I1914">
        <f>44242*(1.01^10)</f>
        <v>48870.692072442522</v>
      </c>
      <c r="J1914" t="s">
        <v>6409</v>
      </c>
      <c r="K1914">
        <f t="shared" si="29"/>
        <v>61.195457140549109</v>
      </c>
    </row>
    <row r="1915" spans="1:11" x14ac:dyDescent="0.2">
      <c r="A1915" t="s">
        <v>274</v>
      </c>
      <c r="B1915" t="s">
        <v>573</v>
      </c>
      <c r="C1915" t="s">
        <v>6405</v>
      </c>
      <c r="D1915" t="s">
        <v>6406</v>
      </c>
      <c r="E1915" t="s">
        <v>382</v>
      </c>
      <c r="F1915" t="s">
        <v>11</v>
      </c>
      <c r="G1915" t="s">
        <v>12</v>
      </c>
      <c r="H1915">
        <f>3030*(1.01^10)</f>
        <v>3347.0050399959505</v>
      </c>
      <c r="I1915">
        <f>14897*(1.01^10)</f>
        <v>16455.555802250718</v>
      </c>
      <c r="J1915" t="s">
        <v>2996</v>
      </c>
      <c r="K1915">
        <f t="shared" si="29"/>
        <v>26.413412202649628</v>
      </c>
    </row>
    <row r="1916" spans="1:11" x14ac:dyDescent="0.2">
      <c r="A1916" t="s">
        <v>274</v>
      </c>
      <c r="B1916" t="s">
        <v>3231</v>
      </c>
      <c r="C1916" t="s">
        <v>6410</v>
      </c>
      <c r="D1916" t="s">
        <v>6411</v>
      </c>
      <c r="E1916" t="s">
        <v>1506</v>
      </c>
      <c r="F1916" t="s">
        <v>92</v>
      </c>
      <c r="G1916" t="s">
        <v>24</v>
      </c>
      <c r="H1916">
        <f>3823*(1.01^10)</f>
        <v>4222.9703854470354</v>
      </c>
      <c r="I1916">
        <f>18813*(1.01^10)</f>
        <v>20781.256045360995</v>
      </c>
      <c r="J1916" t="s">
        <v>6412</v>
      </c>
      <c r="K1916">
        <f t="shared" si="29"/>
        <v>14.95850743947209</v>
      </c>
    </row>
    <row r="1917" spans="1:11" x14ac:dyDescent="0.2">
      <c r="A1917" t="s">
        <v>274</v>
      </c>
      <c r="B1917" t="s">
        <v>3231</v>
      </c>
      <c r="C1917" t="s">
        <v>6413</v>
      </c>
      <c r="D1917" t="s">
        <v>6414</v>
      </c>
      <c r="E1917" t="s">
        <v>67</v>
      </c>
      <c r="F1917" t="s">
        <v>445</v>
      </c>
      <c r="G1917" t="s">
        <v>12</v>
      </c>
      <c r="H1917">
        <f>7951*(1.01^10)</f>
        <v>8782.8505191444892</v>
      </c>
      <c r="I1917">
        <f>39020*(1.01^10)</f>
        <v>43102.355333545209</v>
      </c>
      <c r="J1917" t="s">
        <v>6415</v>
      </c>
      <c r="K1917">
        <f t="shared" si="29"/>
        <v>41.195419370867739</v>
      </c>
    </row>
    <row r="1918" spans="1:11" x14ac:dyDescent="0.2">
      <c r="A1918" t="s">
        <v>274</v>
      </c>
      <c r="B1918" t="s">
        <v>3231</v>
      </c>
      <c r="C1918" t="s">
        <v>6416</v>
      </c>
      <c r="D1918" t="s">
        <v>6417</v>
      </c>
      <c r="E1918" t="s">
        <v>16</v>
      </c>
      <c r="F1918" t="s">
        <v>744</v>
      </c>
      <c r="G1918" t="s">
        <v>12</v>
      </c>
      <c r="H1918">
        <f>15902*(1.01^10)</f>
        <v>17565.701038288978</v>
      </c>
      <c r="I1918">
        <f>77482*(1.01^10)</f>
        <v>85588.331521110973</v>
      </c>
      <c r="J1918" t="s">
        <v>6418</v>
      </c>
      <c r="K1918">
        <f t="shared" si="29"/>
        <v>76.619278750569336</v>
      </c>
    </row>
    <row r="1919" spans="1:11" x14ac:dyDescent="0.2">
      <c r="A1919" t="s">
        <v>274</v>
      </c>
      <c r="B1919" t="s">
        <v>3231</v>
      </c>
      <c r="C1919" t="s">
        <v>6419</v>
      </c>
      <c r="D1919" t="s">
        <v>6420</v>
      </c>
      <c r="E1919" t="s">
        <v>61</v>
      </c>
      <c r="F1919" t="s">
        <v>17</v>
      </c>
      <c r="G1919" t="s">
        <v>12</v>
      </c>
      <c r="H1919">
        <f>5382*(1.01^10)</f>
        <v>5945.0762789631035</v>
      </c>
      <c r="I1919">
        <f>26113*(1.01^10)</f>
        <v>28844.99756086279</v>
      </c>
      <c r="J1919" t="s">
        <v>6421</v>
      </c>
      <c r="K1919">
        <f t="shared" si="29"/>
        <v>29.27267128838611</v>
      </c>
    </row>
    <row r="1920" spans="1:11" x14ac:dyDescent="0.2">
      <c r="A1920" t="s">
        <v>274</v>
      </c>
      <c r="B1920" t="s">
        <v>3221</v>
      </c>
      <c r="C1920" t="s">
        <v>6422</v>
      </c>
      <c r="D1920" t="s">
        <v>6423</v>
      </c>
      <c r="E1920" t="s">
        <v>1195</v>
      </c>
      <c r="F1920" t="s">
        <v>11</v>
      </c>
      <c r="G1920" t="s">
        <v>24</v>
      </c>
      <c r="H1920">
        <f>8829*(1.01^10)</f>
        <v>9752.7087452555261</v>
      </c>
      <c r="I1920">
        <f>45307*(1.01^10)</f>
        <v>50047.114636005455</v>
      </c>
      <c r="J1920" t="s">
        <v>6424</v>
      </c>
      <c r="K1920">
        <f t="shared" si="29"/>
        <v>72.917774657252792</v>
      </c>
    </row>
    <row r="1921" spans="1:11" x14ac:dyDescent="0.2">
      <c r="A1921" t="s">
        <v>274</v>
      </c>
      <c r="B1921" t="s">
        <v>3221</v>
      </c>
      <c r="C1921" t="s">
        <v>6425</v>
      </c>
      <c r="D1921" t="s">
        <v>6426</v>
      </c>
      <c r="E1921" t="s">
        <v>103</v>
      </c>
      <c r="F1921" t="s">
        <v>158</v>
      </c>
      <c r="G1921" t="s">
        <v>12</v>
      </c>
      <c r="H1921">
        <f>7491*(1.01^10)</f>
        <v>8274.7243414553341</v>
      </c>
      <c r="I1921">
        <f>38722*(1.01^10)</f>
        <v>42773.177940172667</v>
      </c>
      <c r="J1921" t="s">
        <v>6427</v>
      </c>
      <c r="K1921">
        <f t="shared" si="29"/>
        <v>55.489048233320361</v>
      </c>
    </row>
    <row r="1922" spans="1:11" x14ac:dyDescent="0.2">
      <c r="A1922" t="s">
        <v>274</v>
      </c>
      <c r="B1922" t="s">
        <v>3221</v>
      </c>
      <c r="C1922" t="s">
        <v>6428</v>
      </c>
      <c r="D1922" t="s">
        <v>6429</v>
      </c>
      <c r="E1922" t="s">
        <v>313</v>
      </c>
      <c r="F1922" t="s">
        <v>24</v>
      </c>
      <c r="G1922" t="s">
        <v>24</v>
      </c>
      <c r="H1922">
        <f>3453*(1.01^10)</f>
        <v>3814.2601990448902</v>
      </c>
      <c r="I1922">
        <f>17126*(1.01^10)</f>
        <v>18917.758519792293</v>
      </c>
      <c r="J1922" t="s">
        <v>3476</v>
      </c>
      <c r="K1922">
        <f t="shared" si="29"/>
        <v>35.42651408200804</v>
      </c>
    </row>
    <row r="1923" spans="1:11" x14ac:dyDescent="0.2">
      <c r="A1923" t="s">
        <v>274</v>
      </c>
      <c r="B1923" t="s">
        <v>3221</v>
      </c>
      <c r="C1923" t="s">
        <v>6430</v>
      </c>
      <c r="D1923" t="s">
        <v>6431</v>
      </c>
      <c r="E1923" t="s">
        <v>356</v>
      </c>
      <c r="F1923" t="s">
        <v>24</v>
      </c>
      <c r="G1923" t="s">
        <v>24</v>
      </c>
      <c r="H1923">
        <f>3211*(1.01^10)</f>
        <v>3546.9416446953783</v>
      </c>
      <c r="I1923">
        <f>16739*(1.01^10)</f>
        <v>18490.269757258156</v>
      </c>
      <c r="J1923" t="s">
        <v>6432</v>
      </c>
      <c r="K1923">
        <f t="shared" ref="K1923:K1986" si="30">I1923/J1923</f>
        <v>32.673516561393434</v>
      </c>
    </row>
    <row r="1924" spans="1:11" x14ac:dyDescent="0.2">
      <c r="A1924" t="s">
        <v>274</v>
      </c>
      <c r="B1924" t="s">
        <v>2769</v>
      </c>
      <c r="C1924" t="s">
        <v>6433</v>
      </c>
      <c r="D1924" t="s">
        <v>6434</v>
      </c>
      <c r="E1924" t="s">
        <v>97</v>
      </c>
      <c r="F1924" t="s">
        <v>152</v>
      </c>
      <c r="G1924" t="s">
        <v>24</v>
      </c>
      <c r="H1924">
        <f>4373*(1.01^10)</f>
        <v>4830.5125544231987</v>
      </c>
      <c r="I1924">
        <f>21043*(1.01^10)</f>
        <v>23244.563385027981</v>
      </c>
      <c r="J1924" t="s">
        <v>6435</v>
      </c>
      <c r="K1924">
        <f t="shared" si="30"/>
        <v>24.656649714157798</v>
      </c>
    </row>
    <row r="1925" spans="1:11" x14ac:dyDescent="0.2">
      <c r="A1925" t="s">
        <v>274</v>
      </c>
      <c r="B1925" t="s">
        <v>2769</v>
      </c>
      <c r="C1925" t="s">
        <v>6436</v>
      </c>
      <c r="D1925" t="s">
        <v>6437</v>
      </c>
      <c r="E1925" t="s">
        <v>356</v>
      </c>
      <c r="F1925" t="s">
        <v>12</v>
      </c>
      <c r="G1925" t="s">
        <v>12</v>
      </c>
      <c r="H1925">
        <f>6771*(1.01^10)</f>
        <v>7479.3964111592677</v>
      </c>
      <c r="I1925">
        <f>35531*(1.01^10)</f>
        <v>39248.328737985517</v>
      </c>
      <c r="J1925" t="s">
        <v>6438</v>
      </c>
      <c r="K1925">
        <f t="shared" si="30"/>
        <v>85.850621733677883</v>
      </c>
    </row>
    <row r="1926" spans="1:11" x14ac:dyDescent="0.2">
      <c r="A1926" t="s">
        <v>44</v>
      </c>
      <c r="B1926" t="s">
        <v>5374</v>
      </c>
      <c r="C1926" t="s">
        <v>6439</v>
      </c>
      <c r="D1926" t="s">
        <v>4545</v>
      </c>
      <c r="E1926" t="s">
        <v>422</v>
      </c>
      <c r="F1926" t="s">
        <v>24</v>
      </c>
      <c r="G1926" t="s">
        <v>5</v>
      </c>
      <c r="H1926">
        <f>38853*(1.01^10)</f>
        <v>42917.883438601537</v>
      </c>
      <c r="I1926">
        <f>163639*(1.01^10)</f>
        <v>180759.25998016415</v>
      </c>
      <c r="J1926" t="s">
        <v>6440</v>
      </c>
      <c r="K1926">
        <f t="shared" si="30"/>
        <v>751.22292403027245</v>
      </c>
    </row>
    <row r="1927" spans="1:11" x14ac:dyDescent="0.2">
      <c r="A1927" t="s">
        <v>44</v>
      </c>
      <c r="B1927" t="s">
        <v>5374</v>
      </c>
      <c r="C1927" t="s">
        <v>6441</v>
      </c>
      <c r="D1927" t="s">
        <v>6442</v>
      </c>
      <c r="E1927" t="s">
        <v>422</v>
      </c>
      <c r="F1927" t="s">
        <v>24</v>
      </c>
      <c r="G1927" t="s">
        <v>24</v>
      </c>
      <c r="H1927">
        <f>8256*(1.01^10)</f>
        <v>9119.7602673949059</v>
      </c>
      <c r="I1927">
        <f>35628*(1.01^10)</f>
        <v>39355.4770841504</v>
      </c>
      <c r="J1927" t="s">
        <v>6443</v>
      </c>
      <c r="K1927">
        <f t="shared" si="30"/>
        <v>264.05983014056898</v>
      </c>
    </row>
    <row r="1928" spans="1:11" x14ac:dyDescent="0.2">
      <c r="A1928" t="s">
        <v>44</v>
      </c>
      <c r="B1928" t="s">
        <v>6444</v>
      </c>
      <c r="C1928" t="s">
        <v>6445</v>
      </c>
      <c r="D1928" t="s">
        <v>6446</v>
      </c>
      <c r="E1928" t="s">
        <v>445</v>
      </c>
      <c r="F1928" t="s">
        <v>24</v>
      </c>
      <c r="G1928" t="s">
        <v>24</v>
      </c>
      <c r="H1928">
        <f>8162*(1.01^10)</f>
        <v>9015.9257876062529</v>
      </c>
      <c r="I1928">
        <f>35534*(1.01^10)</f>
        <v>39251.642604361747</v>
      </c>
      <c r="J1928" t="s">
        <v>6447</v>
      </c>
      <c r="K1928">
        <f t="shared" si="30"/>
        <v>323.24501856511358</v>
      </c>
    </row>
    <row r="1929" spans="1:11" x14ac:dyDescent="0.2">
      <c r="A1929" t="s">
        <v>44</v>
      </c>
      <c r="B1929" t="s">
        <v>6444</v>
      </c>
      <c r="C1929" t="s">
        <v>6448</v>
      </c>
      <c r="D1929" t="s">
        <v>6449</v>
      </c>
      <c r="E1929" t="s">
        <v>458</v>
      </c>
      <c r="F1929" t="s">
        <v>24</v>
      </c>
      <c r="G1929" t="s">
        <v>24</v>
      </c>
      <c r="H1929">
        <f>15721*(1.01^10)</f>
        <v>17365.764433589549</v>
      </c>
      <c r="I1929">
        <f>64998*(1.01^10)</f>
        <v>71798.228907477489</v>
      </c>
      <c r="J1929" t="s">
        <v>6450</v>
      </c>
      <c r="K1929">
        <f t="shared" si="30"/>
        <v>662.46751160248652</v>
      </c>
    </row>
    <row r="1930" spans="1:11" x14ac:dyDescent="0.2">
      <c r="A1930" t="s">
        <v>44</v>
      </c>
      <c r="B1930" t="s">
        <v>6444</v>
      </c>
      <c r="C1930" t="s">
        <v>6451</v>
      </c>
      <c r="D1930" t="s">
        <v>6452</v>
      </c>
      <c r="E1930" t="s">
        <v>61</v>
      </c>
      <c r="F1930" t="s">
        <v>24</v>
      </c>
      <c r="G1930" t="s">
        <v>24</v>
      </c>
      <c r="H1930">
        <f>9783*(1.01^10)</f>
        <v>10806.518252897817</v>
      </c>
      <c r="I1930">
        <f>43459*(1.01^10)</f>
        <v>48005.772948245547</v>
      </c>
      <c r="J1930" t="s">
        <v>6453</v>
      </c>
      <c r="K1930">
        <f t="shared" si="30"/>
        <v>209.40358974152912</v>
      </c>
    </row>
    <row r="1931" spans="1:11" x14ac:dyDescent="0.2">
      <c r="A1931" t="s">
        <v>44</v>
      </c>
      <c r="B1931" t="s">
        <v>6444</v>
      </c>
      <c r="C1931" t="s">
        <v>6454</v>
      </c>
      <c r="D1931" t="s">
        <v>3810</v>
      </c>
      <c r="E1931" t="s">
        <v>405</v>
      </c>
      <c r="F1931" t="s">
        <v>11</v>
      </c>
      <c r="G1931" t="s">
        <v>24</v>
      </c>
      <c r="H1931">
        <f>11140*(1.01^10)</f>
        <v>12305.490477080821</v>
      </c>
      <c r="I1931">
        <f>46579*(1.01^10)</f>
        <v>51452.193979528507</v>
      </c>
      <c r="J1931" t="s">
        <v>6455</v>
      </c>
      <c r="K1931">
        <f t="shared" si="30"/>
        <v>475.00179080066943</v>
      </c>
    </row>
    <row r="1932" spans="1:11" x14ac:dyDescent="0.2">
      <c r="A1932" t="s">
        <v>44</v>
      </c>
      <c r="B1932" t="s">
        <v>6444</v>
      </c>
      <c r="C1932" t="s">
        <v>6456</v>
      </c>
      <c r="D1932" t="s">
        <v>6457</v>
      </c>
      <c r="E1932" t="s">
        <v>382</v>
      </c>
      <c r="F1932" t="s">
        <v>12</v>
      </c>
      <c r="G1932" t="s">
        <v>24</v>
      </c>
      <c r="H1932">
        <f>16112*(1.01^10)</f>
        <v>17797.671684625329</v>
      </c>
      <c r="I1932">
        <f>68269*(1.01^10)</f>
        <v>75411.447879697531</v>
      </c>
      <c r="J1932" t="s">
        <v>766</v>
      </c>
      <c r="K1932">
        <f t="shared" si="30"/>
        <v>593.79092818659478</v>
      </c>
    </row>
    <row r="1933" spans="1:11" x14ac:dyDescent="0.2">
      <c r="A1933" t="s">
        <v>44</v>
      </c>
      <c r="B1933" t="s">
        <v>6444</v>
      </c>
      <c r="C1933" t="s">
        <v>6458</v>
      </c>
      <c r="D1933" t="s">
        <v>6459</v>
      </c>
      <c r="E1933" t="s">
        <v>458</v>
      </c>
      <c r="F1933" t="s">
        <v>12</v>
      </c>
      <c r="G1933" t="s">
        <v>24</v>
      </c>
      <c r="H1933">
        <f>6489*(1.01^10)</f>
        <v>7167.8929717933079</v>
      </c>
      <c r="I1933">
        <f>29167*(1.01^10)</f>
        <v>32218.513531868608</v>
      </c>
      <c r="J1933" t="s">
        <v>6460</v>
      </c>
      <c r="K1933">
        <f t="shared" si="30"/>
        <v>101.13162637914687</v>
      </c>
    </row>
    <row r="1934" spans="1:11" x14ac:dyDescent="0.2">
      <c r="A1934" t="s">
        <v>44</v>
      </c>
      <c r="B1934" t="s">
        <v>5374</v>
      </c>
      <c r="C1934" t="s">
        <v>6461</v>
      </c>
      <c r="D1934" t="s">
        <v>6462</v>
      </c>
      <c r="E1934" t="s">
        <v>44</v>
      </c>
      <c r="F1934" t="s">
        <v>12</v>
      </c>
      <c r="G1934" t="s">
        <v>24</v>
      </c>
      <c r="H1934">
        <f>10531*(1.01^10)</f>
        <v>11632.775602705397</v>
      </c>
      <c r="I1934">
        <f>44670*(1.01^10)</f>
        <v>49343.470342118519</v>
      </c>
      <c r="J1934" t="s">
        <v>6463</v>
      </c>
      <c r="K1934">
        <f t="shared" si="30"/>
        <v>274.43531892168249</v>
      </c>
    </row>
    <row r="1935" spans="1:11" x14ac:dyDescent="0.2">
      <c r="A1935" t="s">
        <v>44</v>
      </c>
      <c r="B1935" t="s">
        <v>5374</v>
      </c>
      <c r="C1935" t="s">
        <v>6464</v>
      </c>
      <c r="D1935" t="s">
        <v>6465</v>
      </c>
      <c r="E1935" t="s">
        <v>274</v>
      </c>
      <c r="F1935" t="s">
        <v>24</v>
      </c>
      <c r="G1935" t="s">
        <v>5</v>
      </c>
      <c r="H1935">
        <f>33168*(1.01^10)</f>
        <v>36638.10665563884</v>
      </c>
      <c r="I1935">
        <f>142269*(1.01^10)</f>
        <v>157153.4851601267</v>
      </c>
      <c r="J1935" t="s">
        <v>6466</v>
      </c>
      <c r="K1935">
        <f t="shared" si="30"/>
        <v>664.80597808759558</v>
      </c>
    </row>
    <row r="1936" spans="1:11" x14ac:dyDescent="0.2">
      <c r="A1936" t="s">
        <v>44</v>
      </c>
      <c r="B1936" t="s">
        <v>5374</v>
      </c>
      <c r="C1936" t="s">
        <v>6467</v>
      </c>
      <c r="D1936" t="s">
        <v>6468</v>
      </c>
      <c r="E1936" t="s">
        <v>158</v>
      </c>
      <c r="F1936" t="s">
        <v>24</v>
      </c>
      <c r="G1936" t="s">
        <v>92</v>
      </c>
      <c r="H1936">
        <f>28785*(1.01^10)</f>
        <v>31796.54787996153</v>
      </c>
      <c r="I1936">
        <f>118886*(1.01^10)</f>
        <v>131324.10600163648</v>
      </c>
      <c r="J1936" t="s">
        <v>6469</v>
      </c>
      <c r="K1936">
        <f t="shared" si="30"/>
        <v>1216.8653261826953</v>
      </c>
    </row>
    <row r="1937" spans="1:11" x14ac:dyDescent="0.2">
      <c r="A1937" t="s">
        <v>44</v>
      </c>
      <c r="B1937" t="s">
        <v>3108</v>
      </c>
      <c r="C1937" t="s">
        <v>6470</v>
      </c>
      <c r="D1937" t="s">
        <v>6471</v>
      </c>
      <c r="E1937" t="s">
        <v>356</v>
      </c>
      <c r="F1937" t="s">
        <v>24</v>
      </c>
      <c r="G1937" t="s">
        <v>24</v>
      </c>
      <c r="H1937">
        <f>10332*(1.01^10)</f>
        <v>11412.955799748568</v>
      </c>
      <c r="I1937">
        <f>45682*(1.01^10)</f>
        <v>50461.347933034653</v>
      </c>
      <c r="J1937" t="s">
        <v>396</v>
      </c>
      <c r="K1937">
        <f t="shared" si="30"/>
        <v>265.58604175281397</v>
      </c>
    </row>
    <row r="1938" spans="1:11" x14ac:dyDescent="0.2">
      <c r="A1938" t="s">
        <v>44</v>
      </c>
      <c r="B1938" t="s">
        <v>3108</v>
      </c>
      <c r="C1938" t="s">
        <v>6472</v>
      </c>
      <c r="D1938" t="s">
        <v>6473</v>
      </c>
      <c r="E1938" t="s">
        <v>520</v>
      </c>
      <c r="F1938" t="s">
        <v>24</v>
      </c>
      <c r="G1938" t="s">
        <v>12</v>
      </c>
      <c r="H1938">
        <f>39307*(1.01^10)</f>
        <v>43419.381883538226</v>
      </c>
      <c r="I1938">
        <f>166253*(1.01^10)</f>
        <v>183646.74221598901</v>
      </c>
      <c r="J1938" t="s">
        <v>6474</v>
      </c>
      <c r="K1938">
        <f t="shared" si="30"/>
        <v>586.16898249597511</v>
      </c>
    </row>
    <row r="1939" spans="1:11" x14ac:dyDescent="0.2">
      <c r="A1939" t="s">
        <v>44</v>
      </c>
      <c r="B1939" t="s">
        <v>3108</v>
      </c>
      <c r="C1939" t="s">
        <v>6475</v>
      </c>
      <c r="D1939" t="s">
        <v>6476</v>
      </c>
      <c r="E1939" t="s">
        <v>44</v>
      </c>
      <c r="F1939" t="s">
        <v>24</v>
      </c>
      <c r="G1939" t="s">
        <v>24</v>
      </c>
      <c r="H1939">
        <f>10570*(1.01^10)</f>
        <v>11675.855865596433</v>
      </c>
      <c r="I1939">
        <f>51707*(1.01^10)</f>
        <v>57116.696238637167</v>
      </c>
      <c r="J1939" t="s">
        <v>6477</v>
      </c>
      <c r="K1939">
        <f t="shared" si="30"/>
        <v>516.70613568515614</v>
      </c>
    </row>
    <row r="1940" spans="1:11" x14ac:dyDescent="0.2">
      <c r="A1940" t="s">
        <v>44</v>
      </c>
      <c r="B1940" t="s">
        <v>3108</v>
      </c>
      <c r="C1940" t="s">
        <v>6478</v>
      </c>
      <c r="D1940" t="s">
        <v>6479</v>
      </c>
      <c r="E1940" t="s">
        <v>56</v>
      </c>
      <c r="F1940" t="s">
        <v>24</v>
      </c>
      <c r="G1940" t="s">
        <v>12</v>
      </c>
      <c r="H1940">
        <f>27654*(1.01^10)</f>
        <v>30547.220256121454</v>
      </c>
      <c r="I1940">
        <f>121474*(1.01^10)</f>
        <v>134182.86806220069</v>
      </c>
      <c r="J1940" t="s">
        <v>6480</v>
      </c>
      <c r="K1940">
        <f t="shared" si="30"/>
        <v>607.76731616179313</v>
      </c>
    </row>
    <row r="1941" spans="1:11" x14ac:dyDescent="0.2">
      <c r="A1941" t="s">
        <v>44</v>
      </c>
      <c r="B1941" t="s">
        <v>3108</v>
      </c>
      <c r="C1941" t="s">
        <v>6481</v>
      </c>
      <c r="D1941" t="s">
        <v>6482</v>
      </c>
      <c r="E1941" t="s">
        <v>445</v>
      </c>
      <c r="F1941" t="s">
        <v>24</v>
      </c>
      <c r="G1941" t="s">
        <v>24</v>
      </c>
      <c r="H1941">
        <f>13821*(1.01^10)</f>
        <v>15266.982395308261</v>
      </c>
      <c r="I1941">
        <f>62489*(1.01^10)</f>
        <v>69026.731994820773</v>
      </c>
      <c r="J1941" t="s">
        <v>6483</v>
      </c>
      <c r="K1941">
        <f t="shared" si="30"/>
        <v>467.50241784504414</v>
      </c>
    </row>
    <row r="1942" spans="1:11" x14ac:dyDescent="0.2">
      <c r="A1942" t="s">
        <v>44</v>
      </c>
      <c r="B1942" t="s">
        <v>5374</v>
      </c>
      <c r="C1942" t="s">
        <v>6484</v>
      </c>
      <c r="D1942" t="s">
        <v>6485</v>
      </c>
      <c r="E1942" t="s">
        <v>24</v>
      </c>
      <c r="F1942" t="s">
        <v>24</v>
      </c>
      <c r="G1942" t="s">
        <v>158</v>
      </c>
      <c r="H1942">
        <f>121881*(1.01^10)</f>
        <v>134632.44926724304</v>
      </c>
      <c r="I1942">
        <f>485036*(1.01^10)</f>
        <v>535781.49722094915</v>
      </c>
      <c r="J1942" t="s">
        <v>498</v>
      </c>
      <c r="K1942">
        <f t="shared" si="30"/>
        <v>6378.3511573922515</v>
      </c>
    </row>
    <row r="1943" spans="1:11" x14ac:dyDescent="0.2">
      <c r="A1943" t="s">
        <v>44</v>
      </c>
      <c r="B1943" t="s">
        <v>6486</v>
      </c>
      <c r="C1943" t="s">
        <v>6487</v>
      </c>
      <c r="D1943" t="s">
        <v>6488</v>
      </c>
      <c r="E1943" t="s">
        <v>44</v>
      </c>
      <c r="F1943" t="s">
        <v>24</v>
      </c>
      <c r="G1943" t="s">
        <v>24</v>
      </c>
      <c r="H1943">
        <f>8682*(1.01^10)</f>
        <v>9590.329292820079</v>
      </c>
      <c r="I1943">
        <f>40912*(1.01^10)</f>
        <v>45192.300394823207</v>
      </c>
      <c r="J1943" t="s">
        <v>6489</v>
      </c>
      <c r="K1943">
        <f t="shared" si="30"/>
        <v>223.77965038288295</v>
      </c>
    </row>
    <row r="1944" spans="1:11" x14ac:dyDescent="0.2">
      <c r="A1944" t="s">
        <v>44</v>
      </c>
      <c r="B1944" t="s">
        <v>6486</v>
      </c>
      <c r="C1944" t="s">
        <v>6490</v>
      </c>
      <c r="D1944" t="s">
        <v>4707</v>
      </c>
      <c r="E1944" t="s">
        <v>1340</v>
      </c>
      <c r="F1944" t="s">
        <v>24</v>
      </c>
      <c r="G1944" t="s">
        <v>24</v>
      </c>
      <c r="H1944">
        <f>13004*(1.01^10)</f>
        <v>14364.506118847306</v>
      </c>
      <c r="I1944">
        <f>56572*(1.01^10)</f>
        <v>62490.682878762673</v>
      </c>
      <c r="J1944" t="s">
        <v>6491</v>
      </c>
      <c r="K1944">
        <f t="shared" si="30"/>
        <v>183.17118911584791</v>
      </c>
    </row>
    <row r="1945" spans="1:11" x14ac:dyDescent="0.2">
      <c r="A1945" t="s">
        <v>44</v>
      </c>
      <c r="B1945" t="s">
        <v>6486</v>
      </c>
      <c r="C1945" t="s">
        <v>6492</v>
      </c>
      <c r="D1945" t="s">
        <v>6493</v>
      </c>
      <c r="E1945" t="s">
        <v>422</v>
      </c>
      <c r="F1945" t="s">
        <v>24</v>
      </c>
      <c r="G1945" t="s">
        <v>24</v>
      </c>
      <c r="H1945">
        <f>8427*(1.01^10)</f>
        <v>9308.6506508402217</v>
      </c>
      <c r="I1945">
        <f>38635*(1.01^10)</f>
        <v>42677.075815261895</v>
      </c>
      <c r="J1945" t="s">
        <v>6494</v>
      </c>
      <c r="K1945">
        <f t="shared" si="30"/>
        <v>149.27273807366927</v>
      </c>
    </row>
    <row r="1946" spans="1:11" x14ac:dyDescent="0.2">
      <c r="A1946" t="s">
        <v>44</v>
      </c>
      <c r="B1946" t="s">
        <v>6486</v>
      </c>
      <c r="C1946" t="s">
        <v>6495</v>
      </c>
      <c r="D1946" t="s">
        <v>6496</v>
      </c>
      <c r="E1946" t="s">
        <v>1656</v>
      </c>
      <c r="F1946" t="s">
        <v>12</v>
      </c>
      <c r="G1946" t="s">
        <v>5</v>
      </c>
      <c r="H1946">
        <f>30329*(1.01^10)</f>
        <v>33502.084441596431</v>
      </c>
      <c r="I1946">
        <f>128877*(1.01^10)</f>
        <v>142360.38565661982</v>
      </c>
      <c r="J1946" t="s">
        <v>6497</v>
      </c>
      <c r="K1946">
        <f t="shared" si="30"/>
        <v>421.7460691945484</v>
      </c>
    </row>
    <row r="1947" spans="1:11" x14ac:dyDescent="0.2">
      <c r="A1947" t="s">
        <v>44</v>
      </c>
      <c r="B1947" t="s">
        <v>6486</v>
      </c>
      <c r="C1947" t="s">
        <v>6498</v>
      </c>
      <c r="D1947" t="s">
        <v>6499</v>
      </c>
      <c r="E1947" t="s">
        <v>356</v>
      </c>
      <c r="F1947" t="s">
        <v>24</v>
      </c>
      <c r="G1947" t="s">
        <v>24</v>
      </c>
      <c r="H1947">
        <f>17687*(1.01^10)</f>
        <v>19537.451532147978</v>
      </c>
      <c r="I1947">
        <f>75295*(1.01^10)</f>
        <v>83172.522932836655</v>
      </c>
      <c r="J1947" t="s">
        <v>6500</v>
      </c>
      <c r="K1947">
        <f t="shared" si="30"/>
        <v>712.76478646702083</v>
      </c>
    </row>
    <row r="1948" spans="1:11" x14ac:dyDescent="0.2">
      <c r="A1948" t="s">
        <v>44</v>
      </c>
      <c r="B1948" t="s">
        <v>581</v>
      </c>
      <c r="C1948" t="s">
        <v>6501</v>
      </c>
      <c r="D1948" t="s">
        <v>3952</v>
      </c>
      <c r="E1948" t="s">
        <v>220</v>
      </c>
      <c r="F1948" t="s">
        <v>12</v>
      </c>
      <c r="G1948" t="s">
        <v>24</v>
      </c>
      <c r="H1948">
        <f>22846*(1.01^10)</f>
        <v>25236.197077144385</v>
      </c>
      <c r="I1948">
        <f>94211*(1.01^10)</f>
        <v>104067.55505711501</v>
      </c>
      <c r="J1948" t="s">
        <v>6502</v>
      </c>
      <c r="K1948">
        <f t="shared" si="30"/>
        <v>325.22127271825684</v>
      </c>
    </row>
    <row r="1949" spans="1:11" x14ac:dyDescent="0.2">
      <c r="A1949" t="s">
        <v>44</v>
      </c>
      <c r="B1949" t="s">
        <v>581</v>
      </c>
      <c r="C1949" t="s">
        <v>6503</v>
      </c>
      <c r="D1949" t="s">
        <v>6504</v>
      </c>
      <c r="E1949" t="s">
        <v>411</v>
      </c>
      <c r="F1949" t="s">
        <v>24</v>
      </c>
      <c r="G1949" t="s">
        <v>24</v>
      </c>
      <c r="H1949">
        <f>12871*(1.01^10)</f>
        <v>14217.591376167617</v>
      </c>
      <c r="I1949">
        <f>52736*(1.01^10)</f>
        <v>58253.352405685291</v>
      </c>
      <c r="J1949" t="s">
        <v>6505</v>
      </c>
      <c r="K1949">
        <f t="shared" si="30"/>
        <v>319.51158625321023</v>
      </c>
    </row>
    <row r="1950" spans="1:11" x14ac:dyDescent="0.2">
      <c r="A1950" t="s">
        <v>44</v>
      </c>
      <c r="B1950" t="s">
        <v>581</v>
      </c>
      <c r="C1950" t="s">
        <v>6506</v>
      </c>
      <c r="D1950" t="s">
        <v>6507</v>
      </c>
      <c r="E1950" t="s">
        <v>16</v>
      </c>
      <c r="F1950" t="s">
        <v>24</v>
      </c>
      <c r="G1950" t="s">
        <v>24</v>
      </c>
      <c r="H1950">
        <f>29905*(1.01^10)</f>
        <v>33033.724660422078</v>
      </c>
      <c r="I1950">
        <f>125457*(1.01^10)</f>
        <v>138582.57798771351</v>
      </c>
      <c r="J1950" t="s">
        <v>6508</v>
      </c>
      <c r="K1950">
        <f t="shared" si="30"/>
        <v>285.70192963285677</v>
      </c>
    </row>
    <row r="1951" spans="1:11" x14ac:dyDescent="0.2">
      <c r="A1951" t="s">
        <v>44</v>
      </c>
      <c r="B1951" t="s">
        <v>6486</v>
      </c>
      <c r="C1951" t="s">
        <v>6509</v>
      </c>
      <c r="D1951" t="s">
        <v>6510</v>
      </c>
      <c r="E1951" t="s">
        <v>445</v>
      </c>
      <c r="F1951" t="s">
        <v>24</v>
      </c>
      <c r="G1951" t="s">
        <v>12</v>
      </c>
      <c r="H1951">
        <f>10358*(1.01^10)</f>
        <v>11441.675975009259</v>
      </c>
      <c r="I1951">
        <f>45350*(1.01^10)</f>
        <v>50094.613387398138</v>
      </c>
      <c r="J1951" t="s">
        <v>6511</v>
      </c>
      <c r="K1951">
        <f t="shared" si="30"/>
        <v>272.84647814487005</v>
      </c>
    </row>
    <row r="1952" spans="1:11" x14ac:dyDescent="0.2">
      <c r="A1952" t="s">
        <v>44</v>
      </c>
      <c r="B1952" t="s">
        <v>581</v>
      </c>
      <c r="C1952" t="s">
        <v>6512</v>
      </c>
      <c r="D1952" t="s">
        <v>6513</v>
      </c>
      <c r="E1952" t="s">
        <v>220</v>
      </c>
      <c r="F1952" t="s">
        <v>24</v>
      </c>
      <c r="G1952" t="s">
        <v>24</v>
      </c>
      <c r="H1952">
        <f>10696*(1.01^10)</f>
        <v>11815.038253398247</v>
      </c>
      <c r="I1952">
        <f>47946*(1.01^10)</f>
        <v>52962.212424965626</v>
      </c>
      <c r="J1952" t="s">
        <v>6514</v>
      </c>
      <c r="K1952">
        <f t="shared" si="30"/>
        <v>206.23914495703124</v>
      </c>
    </row>
    <row r="1953" spans="1:11" x14ac:dyDescent="0.2">
      <c r="A1953" t="s">
        <v>44</v>
      </c>
      <c r="B1953" t="s">
        <v>581</v>
      </c>
      <c r="C1953" t="s">
        <v>6515</v>
      </c>
      <c r="D1953" t="s">
        <v>6516</v>
      </c>
      <c r="E1953" t="s">
        <v>1656</v>
      </c>
      <c r="F1953" t="s">
        <v>24</v>
      </c>
      <c r="G1953" t="s">
        <v>24</v>
      </c>
      <c r="H1953">
        <f>21280*(1.01^10)</f>
        <v>23506.358828750435</v>
      </c>
      <c r="I1953">
        <f>87355*(1.01^10)</f>
        <v>96494.265765295786</v>
      </c>
      <c r="J1953" t="s">
        <v>6517</v>
      </c>
      <c r="K1953">
        <f t="shared" si="30"/>
        <v>325.92807459736468</v>
      </c>
    </row>
    <row r="1954" spans="1:11" x14ac:dyDescent="0.2">
      <c r="A1954" t="s">
        <v>44</v>
      </c>
      <c r="B1954" t="s">
        <v>581</v>
      </c>
      <c r="C1954" t="s">
        <v>6484</v>
      </c>
      <c r="D1954" t="s">
        <v>6485</v>
      </c>
      <c r="E1954" t="s">
        <v>24</v>
      </c>
      <c r="F1954" t="s">
        <v>24</v>
      </c>
      <c r="G1954" t="s">
        <v>92</v>
      </c>
      <c r="H1954">
        <f>22042*(1.01^10)</f>
        <v>24348.080888313776</v>
      </c>
      <c r="I1954">
        <f>82655*(1.01^10)</f>
        <v>91302.541775863123</v>
      </c>
      <c r="J1954" t="s">
        <v>6518</v>
      </c>
      <c r="K1954">
        <f t="shared" si="30"/>
        <v>1827.8787142314939</v>
      </c>
    </row>
    <row r="1955" spans="1:11" x14ac:dyDescent="0.2">
      <c r="A1955" t="s">
        <v>44</v>
      </c>
      <c r="B1955" t="s">
        <v>1930</v>
      </c>
      <c r="C1955" t="s">
        <v>6519</v>
      </c>
      <c r="D1955" t="s">
        <v>6520</v>
      </c>
      <c r="E1955" t="s">
        <v>674</v>
      </c>
      <c r="F1955" t="s">
        <v>12</v>
      </c>
      <c r="G1955" t="s">
        <v>12</v>
      </c>
      <c r="H1955">
        <f>27518*(1.01^10)</f>
        <v>30396.991647065533</v>
      </c>
      <c r="I1955">
        <f>119282*(1.01^10)</f>
        <v>131761.53636329932</v>
      </c>
      <c r="J1955" t="s">
        <v>6521</v>
      </c>
      <c r="K1955">
        <f t="shared" si="30"/>
        <v>361.78346063508877</v>
      </c>
    </row>
    <row r="1956" spans="1:11" x14ac:dyDescent="0.2">
      <c r="A1956" t="s">
        <v>44</v>
      </c>
      <c r="B1956" t="s">
        <v>1930</v>
      </c>
      <c r="C1956" t="s">
        <v>6522</v>
      </c>
      <c r="D1956" t="s">
        <v>6523</v>
      </c>
      <c r="E1956" t="s">
        <v>796</v>
      </c>
      <c r="F1956" t="s">
        <v>24</v>
      </c>
      <c r="G1956" t="s">
        <v>12</v>
      </c>
      <c r="H1956">
        <f>18699*(1.01^10)</f>
        <v>20655.329123064119</v>
      </c>
      <c r="I1956">
        <f>84194*(1.01^10)</f>
        <v>93002.555226870973</v>
      </c>
      <c r="J1956" t="s">
        <v>6524</v>
      </c>
      <c r="K1956">
        <f t="shared" si="30"/>
        <v>334.20495625582618</v>
      </c>
    </row>
    <row r="1957" spans="1:11" x14ac:dyDescent="0.2">
      <c r="A1957" t="s">
        <v>44</v>
      </c>
      <c r="B1957" t="s">
        <v>1930</v>
      </c>
      <c r="C1957" t="s">
        <v>6525</v>
      </c>
      <c r="D1957" t="s">
        <v>6526</v>
      </c>
      <c r="E1957" t="s">
        <v>1506</v>
      </c>
      <c r="F1957" t="s">
        <v>24</v>
      </c>
      <c r="G1957" t="s">
        <v>24</v>
      </c>
      <c r="H1957">
        <f>11902*(1.01^10)</f>
        <v>13147.21253664416</v>
      </c>
      <c r="I1957">
        <f>54618*(1.01^10)</f>
        <v>60332.25124570918</v>
      </c>
      <c r="J1957" t="s">
        <v>6527</v>
      </c>
      <c r="K1957">
        <f t="shared" si="30"/>
        <v>113.12367810869289</v>
      </c>
    </row>
    <row r="1958" spans="1:11" x14ac:dyDescent="0.2">
      <c r="A1958" t="s">
        <v>44</v>
      </c>
      <c r="B1958" t="s">
        <v>1930</v>
      </c>
      <c r="C1958" t="s">
        <v>6528</v>
      </c>
      <c r="D1958" t="s">
        <v>6529</v>
      </c>
      <c r="E1958" t="s">
        <v>458</v>
      </c>
      <c r="F1958" t="s">
        <v>24</v>
      </c>
      <c r="G1958" t="s">
        <v>24</v>
      </c>
      <c r="H1958">
        <f>6828*(1.01^10)</f>
        <v>7542.3598723077057</v>
      </c>
      <c r="I1958">
        <f>33579*(1.01^10)</f>
        <v>37092.106349182846</v>
      </c>
      <c r="J1958" t="s">
        <v>6530</v>
      </c>
      <c r="K1958">
        <f t="shared" si="30"/>
        <v>65.941522398547278</v>
      </c>
    </row>
    <row r="1959" spans="1:11" x14ac:dyDescent="0.2">
      <c r="A1959" t="s">
        <v>44</v>
      </c>
      <c r="B1959" t="s">
        <v>1930</v>
      </c>
      <c r="C1959" t="s">
        <v>6531</v>
      </c>
      <c r="D1959" t="s">
        <v>6532</v>
      </c>
      <c r="E1959" t="s">
        <v>520</v>
      </c>
      <c r="F1959" t="s">
        <v>11</v>
      </c>
      <c r="G1959" t="s">
        <v>24</v>
      </c>
      <c r="H1959">
        <f>12586*(1.01^10)</f>
        <v>13902.774070425423</v>
      </c>
      <c r="I1959">
        <f>59400*(1.01^10)</f>
        <v>65614.554249425564</v>
      </c>
      <c r="J1959" t="s">
        <v>6533</v>
      </c>
      <c r="K1959">
        <f t="shared" si="30"/>
        <v>103.04440330646644</v>
      </c>
    </row>
    <row r="1960" spans="1:11" x14ac:dyDescent="0.2">
      <c r="A1960" t="s">
        <v>44</v>
      </c>
      <c r="B1960" t="s">
        <v>1930</v>
      </c>
      <c r="C1960" t="s">
        <v>6484</v>
      </c>
      <c r="D1960" t="s">
        <v>6485</v>
      </c>
      <c r="E1960" t="s">
        <v>24</v>
      </c>
      <c r="F1960" t="s">
        <v>24</v>
      </c>
      <c r="G1960" t="s">
        <v>17</v>
      </c>
      <c r="H1960">
        <f>6976*(1.01^10)</f>
        <v>7705.8439468685647</v>
      </c>
      <c r="I1960">
        <f>27157*(1.01^10)</f>
        <v>29998.223059792086</v>
      </c>
      <c r="J1960" t="s">
        <v>6534</v>
      </c>
      <c r="K1960">
        <f t="shared" si="30"/>
        <v>1203.2981572319329</v>
      </c>
    </row>
    <row r="1961" spans="1:11" x14ac:dyDescent="0.2">
      <c r="A1961" t="s">
        <v>44</v>
      </c>
      <c r="B1961" t="s">
        <v>4722</v>
      </c>
      <c r="C1961" t="s">
        <v>6535</v>
      </c>
      <c r="D1961" t="s">
        <v>6536</v>
      </c>
      <c r="E1961" t="s">
        <v>16</v>
      </c>
      <c r="F1961" t="s">
        <v>24</v>
      </c>
      <c r="G1961" t="s">
        <v>24</v>
      </c>
      <c r="H1961">
        <f>23506*(1.01^10)</f>
        <v>25965.247679915778</v>
      </c>
      <c r="I1961">
        <f>108711*(1.01^10)</f>
        <v>120084.57587557747</v>
      </c>
      <c r="J1961" t="s">
        <v>6537</v>
      </c>
      <c r="K1961">
        <f t="shared" si="30"/>
        <v>515.60573583330813</v>
      </c>
    </row>
    <row r="1962" spans="1:11" x14ac:dyDescent="0.2">
      <c r="A1962" t="s">
        <v>44</v>
      </c>
      <c r="B1962" t="s">
        <v>401</v>
      </c>
      <c r="C1962" t="s">
        <v>6538</v>
      </c>
      <c r="D1962" t="s">
        <v>6539</v>
      </c>
      <c r="E1962" t="s">
        <v>422</v>
      </c>
      <c r="F1962" t="s">
        <v>24</v>
      </c>
      <c r="G1962" t="s">
        <v>24</v>
      </c>
      <c r="H1962">
        <f>25856*(1.01^10)</f>
        <v>28561.109674632109</v>
      </c>
      <c r="I1962">
        <f>123298*(1.01^10)</f>
        <v>136197.69881895071</v>
      </c>
      <c r="J1962" t="s">
        <v>6540</v>
      </c>
      <c r="K1962">
        <f t="shared" si="30"/>
        <v>899.52908539033558</v>
      </c>
    </row>
    <row r="1963" spans="1:11" x14ac:dyDescent="0.2">
      <c r="A1963" t="s">
        <v>44</v>
      </c>
      <c r="B1963" t="s">
        <v>401</v>
      </c>
      <c r="C1963" t="s">
        <v>6541</v>
      </c>
      <c r="D1963" t="s">
        <v>6542</v>
      </c>
      <c r="E1963" t="s">
        <v>796</v>
      </c>
      <c r="F1963" t="s">
        <v>24</v>
      </c>
      <c r="G1963" t="s">
        <v>17</v>
      </c>
      <c r="H1963">
        <f>24883*(1.01^10)</f>
        <v>27486.312346607006</v>
      </c>
      <c r="I1963">
        <f>111565*(1.01^10)</f>
        <v>123237.16742150106</v>
      </c>
      <c r="J1963" t="s">
        <v>6543</v>
      </c>
      <c r="K1963">
        <f t="shared" si="30"/>
        <v>518.02088029214394</v>
      </c>
    </row>
    <row r="1964" spans="1:11" x14ac:dyDescent="0.2">
      <c r="A1964" t="s">
        <v>44</v>
      </c>
      <c r="B1964" t="s">
        <v>401</v>
      </c>
      <c r="C1964" t="s">
        <v>6544</v>
      </c>
      <c r="D1964" t="s">
        <v>6545</v>
      </c>
      <c r="E1964" t="s">
        <v>108</v>
      </c>
      <c r="F1964" t="s">
        <v>24</v>
      </c>
      <c r="G1964" t="s">
        <v>24</v>
      </c>
      <c r="H1964">
        <f>5634*(1.01^10)</f>
        <v>6223.4410545667279</v>
      </c>
      <c r="I1964">
        <f>27635*(1.01^10)</f>
        <v>30526.232435738642</v>
      </c>
      <c r="J1964" t="s">
        <v>6546</v>
      </c>
      <c r="K1964">
        <f t="shared" si="30"/>
        <v>160.74898597018768</v>
      </c>
    </row>
    <row r="1965" spans="1:11" x14ac:dyDescent="0.2">
      <c r="A1965" t="s">
        <v>44</v>
      </c>
      <c r="B1965" t="s">
        <v>4722</v>
      </c>
      <c r="C1965" t="s">
        <v>6547</v>
      </c>
      <c r="D1965" t="s">
        <v>6548</v>
      </c>
      <c r="E1965" t="s">
        <v>411</v>
      </c>
      <c r="F1965" t="s">
        <v>24</v>
      </c>
      <c r="G1965" t="s">
        <v>24</v>
      </c>
      <c r="H1965">
        <f>9207*(1.01^10)</f>
        <v>10170.255908660962</v>
      </c>
      <c r="I1965">
        <f>43146*(1.01^10)</f>
        <v>47660.026222991837</v>
      </c>
      <c r="J1965" t="s">
        <v>6549</v>
      </c>
      <c r="K1965">
        <f t="shared" si="30"/>
        <v>316.04791925060897</v>
      </c>
    </row>
    <row r="1966" spans="1:11" x14ac:dyDescent="0.2">
      <c r="A1966" t="s">
        <v>44</v>
      </c>
      <c r="B1966" t="s">
        <v>4722</v>
      </c>
      <c r="C1966" t="s">
        <v>6550</v>
      </c>
      <c r="D1966" t="s">
        <v>6551</v>
      </c>
      <c r="E1966" t="s">
        <v>796</v>
      </c>
      <c r="F1966" t="s">
        <v>24</v>
      </c>
      <c r="G1966" t="s">
        <v>12</v>
      </c>
      <c r="H1966">
        <f>20503*(1.01^10)</f>
        <v>22648.06743730593</v>
      </c>
      <c r="I1966">
        <f>89190*(1.01^10)</f>
        <v>98521.247365425355</v>
      </c>
      <c r="J1966" t="s">
        <v>6552</v>
      </c>
      <c r="K1966">
        <f t="shared" si="30"/>
        <v>483.37379729872123</v>
      </c>
    </row>
    <row r="1967" spans="1:11" x14ac:dyDescent="0.2">
      <c r="A1967" t="s">
        <v>44</v>
      </c>
      <c r="B1967" t="s">
        <v>401</v>
      </c>
      <c r="C1967" t="s">
        <v>6553</v>
      </c>
      <c r="D1967" t="s">
        <v>6554</v>
      </c>
      <c r="E1967" t="s">
        <v>61</v>
      </c>
      <c r="F1967" t="s">
        <v>24</v>
      </c>
      <c r="G1967" t="s">
        <v>12</v>
      </c>
      <c r="H1967">
        <f>21451*(1.01^10)</f>
        <v>23695.249212195755</v>
      </c>
      <c r="I1967">
        <f>102037*(1.01^10)</f>
        <v>112712.3278105831</v>
      </c>
      <c r="J1967" t="s">
        <v>6555</v>
      </c>
      <c r="K1967">
        <f t="shared" si="30"/>
        <v>159.35575825050631</v>
      </c>
    </row>
    <row r="1968" spans="1:11" x14ac:dyDescent="0.2">
      <c r="A1968" t="s">
        <v>44</v>
      </c>
      <c r="B1968" t="s">
        <v>401</v>
      </c>
      <c r="C1968" t="s">
        <v>6556</v>
      </c>
      <c r="D1968" t="s">
        <v>6557</v>
      </c>
      <c r="E1968" t="s">
        <v>382</v>
      </c>
      <c r="F1968" t="s">
        <v>24</v>
      </c>
      <c r="G1968" t="s">
        <v>24</v>
      </c>
      <c r="H1968">
        <f>2499*(1.01^10)</f>
        <v>2760.4506914026006</v>
      </c>
      <c r="I1968">
        <f>12311*(1.01^10)</f>
        <v>13599.002985937341</v>
      </c>
      <c r="J1968" t="s">
        <v>6558</v>
      </c>
      <c r="K1968">
        <f t="shared" si="30"/>
        <v>80.324884736782863</v>
      </c>
    </row>
    <row r="1969" spans="1:11" x14ac:dyDescent="0.2">
      <c r="A1969" t="s">
        <v>44</v>
      </c>
      <c r="B1969" t="s">
        <v>401</v>
      </c>
      <c r="C1969" t="s">
        <v>6484</v>
      </c>
      <c r="D1969" t="s">
        <v>6485</v>
      </c>
      <c r="E1969" t="s">
        <v>24</v>
      </c>
      <c r="F1969" t="s">
        <v>24</v>
      </c>
      <c r="G1969" t="s">
        <v>11</v>
      </c>
      <c r="H1969">
        <f>18816*(1.01^10)</f>
        <v>20784.569911737228</v>
      </c>
      <c r="I1969">
        <f>76054*(1.01^10)</f>
        <v>84010.931126023759</v>
      </c>
      <c r="J1969" t="s">
        <v>6559</v>
      </c>
      <c r="K1969">
        <f t="shared" si="30"/>
        <v>4122.2242947018531</v>
      </c>
    </row>
    <row r="1970" spans="1:11" x14ac:dyDescent="0.2">
      <c r="A1970" t="s">
        <v>411</v>
      </c>
      <c r="B1970" t="s">
        <v>1533</v>
      </c>
      <c r="C1970" t="s">
        <v>6560</v>
      </c>
      <c r="D1970" t="s">
        <v>6561</v>
      </c>
      <c r="E1970" t="s">
        <v>1650</v>
      </c>
      <c r="F1970" t="s">
        <v>318</v>
      </c>
      <c r="G1970" t="s">
        <v>24</v>
      </c>
      <c r="H1970">
        <f>33999*(1.01^10)</f>
        <v>37556.047641855548</v>
      </c>
      <c r="I1970">
        <f>175206*(1.01^10)</f>
        <v>193536.42410479553</v>
      </c>
      <c r="J1970" t="s">
        <v>6562</v>
      </c>
      <c r="K1970">
        <f t="shared" si="30"/>
        <v>361.75032542952437</v>
      </c>
    </row>
    <row r="1971" spans="1:11" x14ac:dyDescent="0.2">
      <c r="A1971" t="s">
        <v>411</v>
      </c>
      <c r="B1971" t="s">
        <v>1533</v>
      </c>
      <c r="C1971" t="s">
        <v>6563</v>
      </c>
      <c r="D1971" t="s">
        <v>6564</v>
      </c>
      <c r="E1971" t="s">
        <v>766</v>
      </c>
      <c r="F1971" t="s">
        <v>92</v>
      </c>
      <c r="G1971" t="s">
        <v>24</v>
      </c>
      <c r="H1971">
        <f>8025*(1.01^10)</f>
        <v>8864.5925564249173</v>
      </c>
      <c r="I1971">
        <f>41595*(1.01^10)</f>
        <v>45946.757306479063</v>
      </c>
      <c r="J1971" t="s">
        <v>1771</v>
      </c>
      <c r="K1971">
        <f t="shared" si="30"/>
        <v>74.468002117470121</v>
      </c>
    </row>
    <row r="1972" spans="1:11" x14ac:dyDescent="0.2">
      <c r="A1972" t="s">
        <v>411</v>
      </c>
      <c r="B1972" t="s">
        <v>1533</v>
      </c>
      <c r="C1972" t="s">
        <v>6565</v>
      </c>
      <c r="D1972" t="s">
        <v>6566</v>
      </c>
      <c r="E1972" t="s">
        <v>347</v>
      </c>
      <c r="F1972" t="s">
        <v>220</v>
      </c>
      <c r="G1972" t="s">
        <v>24</v>
      </c>
      <c r="H1972">
        <f>11484*(1.01^10)</f>
        <v>12685.480488222276</v>
      </c>
      <c r="I1972">
        <f>58388*(1.01^10)</f>
        <v>64496.676658509423</v>
      </c>
      <c r="J1972" t="s">
        <v>1062</v>
      </c>
      <c r="K1972">
        <f t="shared" si="30"/>
        <v>195.44447472275581</v>
      </c>
    </row>
    <row r="1973" spans="1:11" x14ac:dyDescent="0.2">
      <c r="A1973" t="s">
        <v>411</v>
      </c>
      <c r="B1973" t="s">
        <v>1533</v>
      </c>
      <c r="C1973" t="s">
        <v>6567</v>
      </c>
      <c r="D1973" t="s">
        <v>6568</v>
      </c>
      <c r="E1973" t="s">
        <v>407</v>
      </c>
      <c r="F1973" t="s">
        <v>152</v>
      </c>
      <c r="G1973" t="s">
        <v>12</v>
      </c>
      <c r="H1973">
        <f>24819*(1.01^10)</f>
        <v>27415.61653058069</v>
      </c>
      <c r="I1973">
        <f>133756*(1.01^10)</f>
        <v>147749.8370065011</v>
      </c>
      <c r="J1973" t="s">
        <v>5625</v>
      </c>
      <c r="K1973">
        <f t="shared" si="30"/>
        <v>237.53993087861912</v>
      </c>
    </row>
    <row r="1974" spans="1:11" x14ac:dyDescent="0.2">
      <c r="A1974" t="s">
        <v>411</v>
      </c>
      <c r="B1974" t="s">
        <v>1533</v>
      </c>
      <c r="C1974" t="s">
        <v>6569</v>
      </c>
      <c r="D1974" t="s">
        <v>6570</v>
      </c>
      <c r="E1974" t="s">
        <v>798</v>
      </c>
      <c r="F1974" t="s">
        <v>11</v>
      </c>
      <c r="G1974" t="s">
        <v>24</v>
      </c>
      <c r="H1974">
        <f>13881*(1.01^10)</f>
        <v>15333.259722832932</v>
      </c>
      <c r="I1974">
        <f>72103*(1.01^10)</f>
        <v>79646.569108524098</v>
      </c>
      <c r="J1974" t="s">
        <v>2623</v>
      </c>
      <c r="K1974">
        <f t="shared" si="30"/>
        <v>305.15926861503488</v>
      </c>
    </row>
    <row r="1975" spans="1:11" x14ac:dyDescent="0.2">
      <c r="A1975" t="s">
        <v>411</v>
      </c>
      <c r="B1975" t="s">
        <v>1533</v>
      </c>
      <c r="C1975" t="s">
        <v>6571</v>
      </c>
      <c r="D1975" t="s">
        <v>6572</v>
      </c>
      <c r="E1975" t="s">
        <v>493</v>
      </c>
      <c r="F1975" t="s">
        <v>6</v>
      </c>
      <c r="G1975" t="s">
        <v>24</v>
      </c>
      <c r="H1975">
        <f>15112*(1.01^10)</f>
        <v>16693.049559214127</v>
      </c>
      <c r="I1975">
        <f>74602*(1.01^10)</f>
        <v>82407.019799926697</v>
      </c>
      <c r="J1975" t="s">
        <v>6573</v>
      </c>
      <c r="K1975">
        <f t="shared" si="30"/>
        <v>255.93831852887351</v>
      </c>
    </row>
    <row r="1976" spans="1:11" x14ac:dyDescent="0.2">
      <c r="A1976" t="s">
        <v>411</v>
      </c>
      <c r="B1976" t="s">
        <v>1533</v>
      </c>
      <c r="C1976" t="s">
        <v>6574</v>
      </c>
      <c r="D1976" t="s">
        <v>6575</v>
      </c>
      <c r="E1976" t="s">
        <v>1140</v>
      </c>
      <c r="F1976" t="s">
        <v>6</v>
      </c>
      <c r="G1976" t="s">
        <v>24</v>
      </c>
      <c r="H1976">
        <f>5863*(1.01^10)</f>
        <v>6476.3995212858936</v>
      </c>
      <c r="I1976">
        <f>33546*(1.01^10)</f>
        <v>37055.653819044273</v>
      </c>
      <c r="J1976" t="s">
        <v>1046</v>
      </c>
      <c r="K1976">
        <f t="shared" si="30"/>
        <v>94.771493143335732</v>
      </c>
    </row>
    <row r="1977" spans="1:11" x14ac:dyDescent="0.2">
      <c r="A1977" t="s">
        <v>411</v>
      </c>
      <c r="B1977" t="s">
        <v>1533</v>
      </c>
      <c r="C1977" t="s">
        <v>6576</v>
      </c>
      <c r="D1977" t="s">
        <v>6577</v>
      </c>
      <c r="E1977" t="s">
        <v>2603</v>
      </c>
      <c r="F1977" t="s">
        <v>458</v>
      </c>
      <c r="G1977" t="s">
        <v>24</v>
      </c>
      <c r="H1977">
        <f>10169*(1.01^10)</f>
        <v>11232.902393306542</v>
      </c>
      <c r="I1977">
        <f>54095*(1.01^10)</f>
        <v>59754.533874119123</v>
      </c>
      <c r="J1977" t="s">
        <v>6578</v>
      </c>
      <c r="K1977">
        <f t="shared" si="30"/>
        <v>99.753821031216191</v>
      </c>
    </row>
    <row r="1978" spans="1:11" x14ac:dyDescent="0.2">
      <c r="A1978" t="s">
        <v>411</v>
      </c>
      <c r="B1978" t="s">
        <v>3304</v>
      </c>
      <c r="C1978" t="s">
        <v>6579</v>
      </c>
      <c r="D1978" t="s">
        <v>6580</v>
      </c>
      <c r="E1978" t="s">
        <v>2959</v>
      </c>
      <c r="F1978" t="s">
        <v>108</v>
      </c>
      <c r="G1978" t="s">
        <v>12</v>
      </c>
      <c r="H1978">
        <f>19309*(1.01^10)</f>
        <v>21329.148619564952</v>
      </c>
      <c r="I1978">
        <f>104514*(1.01^10)</f>
        <v>115448.47681522665</v>
      </c>
      <c r="J1978" t="s">
        <v>3443</v>
      </c>
      <c r="K1978">
        <f t="shared" si="30"/>
        <v>254.85314970248709</v>
      </c>
    </row>
    <row r="1979" spans="1:11" x14ac:dyDescent="0.2">
      <c r="A1979" t="s">
        <v>411</v>
      </c>
      <c r="B1979" t="s">
        <v>3304</v>
      </c>
      <c r="C1979" t="s">
        <v>6581</v>
      </c>
      <c r="D1979" t="s">
        <v>6582</v>
      </c>
      <c r="E1979" t="s">
        <v>811</v>
      </c>
      <c r="F1979" t="s">
        <v>152</v>
      </c>
      <c r="G1979" t="s">
        <v>24</v>
      </c>
      <c r="H1979">
        <f>9454*(1.01^10)</f>
        <v>10443.097573637529</v>
      </c>
      <c r="I1979">
        <f>52584*(1.01^10)</f>
        <v>58085.449842622787</v>
      </c>
      <c r="J1979" t="s">
        <v>3041</v>
      </c>
      <c r="K1979">
        <f t="shared" si="30"/>
        <v>124.91494589811352</v>
      </c>
    </row>
    <row r="1980" spans="1:11" x14ac:dyDescent="0.2">
      <c r="A1980" t="s">
        <v>411</v>
      </c>
      <c r="B1980" t="s">
        <v>3304</v>
      </c>
      <c r="C1980" t="s">
        <v>6583</v>
      </c>
      <c r="D1980" t="s">
        <v>6584</v>
      </c>
      <c r="E1980" t="s">
        <v>705</v>
      </c>
      <c r="F1980" t="s">
        <v>318</v>
      </c>
      <c r="G1980" t="s">
        <v>24</v>
      </c>
      <c r="H1980">
        <f>9295*(1.01^10)</f>
        <v>10267.462655697149</v>
      </c>
      <c r="I1980">
        <f>51477*(1.01^10)</f>
        <v>56862.633149792586</v>
      </c>
      <c r="J1980" t="s">
        <v>1019</v>
      </c>
      <c r="K1980">
        <f t="shared" si="30"/>
        <v>130.7186968960749</v>
      </c>
    </row>
    <row r="1981" spans="1:11" x14ac:dyDescent="0.2">
      <c r="A1981" t="s">
        <v>411</v>
      </c>
      <c r="B1981" t="s">
        <v>3304</v>
      </c>
      <c r="C1981" t="s">
        <v>6585</v>
      </c>
      <c r="D1981" t="s">
        <v>6586</v>
      </c>
      <c r="E1981" t="s">
        <v>667</v>
      </c>
      <c r="F1981" t="s">
        <v>152</v>
      </c>
      <c r="G1981" t="s">
        <v>24</v>
      </c>
      <c r="H1981">
        <f>10142*(1.01^10)</f>
        <v>11203.077595920438</v>
      </c>
      <c r="I1981">
        <f>53107*(1.01^10)</f>
        <v>58663.167214212852</v>
      </c>
      <c r="J1981" t="s">
        <v>6587</v>
      </c>
      <c r="K1981">
        <f t="shared" si="30"/>
        <v>83.446895041554555</v>
      </c>
    </row>
    <row r="1982" spans="1:11" x14ac:dyDescent="0.2">
      <c r="A1982" t="s">
        <v>411</v>
      </c>
      <c r="B1982" t="s">
        <v>3304</v>
      </c>
      <c r="C1982" t="s">
        <v>6588</v>
      </c>
      <c r="D1982" t="s">
        <v>6589</v>
      </c>
      <c r="E1982" t="s">
        <v>1446</v>
      </c>
      <c r="F1982" t="s">
        <v>108</v>
      </c>
      <c r="G1982" t="s">
        <v>12</v>
      </c>
      <c r="H1982">
        <f>10128*(1.01^10)</f>
        <v>11187.612886164681</v>
      </c>
      <c r="I1982">
        <f>56235*(1.01^10)</f>
        <v>62118.4252224991</v>
      </c>
      <c r="J1982" t="s">
        <v>968</v>
      </c>
      <c r="K1982">
        <f t="shared" si="30"/>
        <v>113.56202051645174</v>
      </c>
    </row>
    <row r="1983" spans="1:11" x14ac:dyDescent="0.2">
      <c r="A1983" t="s">
        <v>411</v>
      </c>
      <c r="B1983" t="s">
        <v>1094</v>
      </c>
      <c r="C1983" t="s">
        <v>6590</v>
      </c>
      <c r="D1983" t="s">
        <v>6591</v>
      </c>
      <c r="E1983" t="s">
        <v>1658</v>
      </c>
      <c r="F1983" t="s">
        <v>1656</v>
      </c>
      <c r="G1983" t="s">
        <v>24</v>
      </c>
      <c r="H1983">
        <f>6938*(1.01^10)</f>
        <v>7663.8683061029387</v>
      </c>
      <c r="I1983">
        <f>40478*(1.01^10)</f>
        <v>44712.894392394745</v>
      </c>
      <c r="J1983" t="s">
        <v>3635</v>
      </c>
      <c r="K1983">
        <f t="shared" si="30"/>
        <v>102.08423377259074</v>
      </c>
    </row>
    <row r="1984" spans="1:11" x14ac:dyDescent="0.2">
      <c r="A1984" t="s">
        <v>411</v>
      </c>
      <c r="B1984" t="s">
        <v>1094</v>
      </c>
      <c r="C1984" t="s">
        <v>6592</v>
      </c>
      <c r="D1984" t="s">
        <v>6593</v>
      </c>
      <c r="E1984" t="s">
        <v>1525</v>
      </c>
      <c r="F1984" t="s">
        <v>1340</v>
      </c>
      <c r="G1984" t="s">
        <v>24</v>
      </c>
      <c r="H1984">
        <f>5037*(1.01^10)</f>
        <v>5563.981645696238</v>
      </c>
      <c r="I1984">
        <f>28216*(1.01^10)</f>
        <v>31168.017890602554</v>
      </c>
      <c r="J1984" t="s">
        <v>481</v>
      </c>
      <c r="K1984">
        <f t="shared" si="30"/>
        <v>74.209566406196558</v>
      </c>
    </row>
    <row r="1985" spans="1:11" x14ac:dyDescent="0.2">
      <c r="A1985" t="s">
        <v>411</v>
      </c>
      <c r="B1985" t="s">
        <v>1094</v>
      </c>
      <c r="C1985" t="s">
        <v>6594</v>
      </c>
      <c r="D1985" t="s">
        <v>6595</v>
      </c>
      <c r="E1985" t="s">
        <v>833</v>
      </c>
      <c r="F1985" t="s">
        <v>318</v>
      </c>
      <c r="G1985" t="s">
        <v>12</v>
      </c>
      <c r="H1985">
        <f>8573*(1.01^10)</f>
        <v>9469.9254811502578</v>
      </c>
      <c r="I1985">
        <f>50617*(1.01^10)</f>
        <v>55912.658121938948</v>
      </c>
      <c r="J1985" t="s">
        <v>3269</v>
      </c>
      <c r="K1985">
        <f t="shared" si="30"/>
        <v>126.49922652022387</v>
      </c>
    </row>
    <row r="1986" spans="1:11" x14ac:dyDescent="0.2">
      <c r="A1986" t="s">
        <v>411</v>
      </c>
      <c r="B1986" t="s">
        <v>1094</v>
      </c>
      <c r="C1986" t="s">
        <v>6596</v>
      </c>
      <c r="D1986" t="s">
        <v>6597</v>
      </c>
      <c r="E1986" t="s">
        <v>1049</v>
      </c>
      <c r="F1986" t="s">
        <v>152</v>
      </c>
      <c r="G1986" t="s">
        <v>24</v>
      </c>
      <c r="H1986">
        <f>3979*(1.01^10)</f>
        <v>4395.2914370111839</v>
      </c>
      <c r="I1986">
        <f>23023*(1.01^10)</f>
        <v>25431.715193342166</v>
      </c>
      <c r="J1986" t="s">
        <v>6598</v>
      </c>
      <c r="K1986">
        <f t="shared" si="30"/>
        <v>43.3248981147226</v>
      </c>
    </row>
    <row r="1987" spans="1:11" x14ac:dyDescent="0.2">
      <c r="A1987" t="s">
        <v>411</v>
      </c>
      <c r="B1987" t="s">
        <v>960</v>
      </c>
      <c r="C1987" t="s">
        <v>6599</v>
      </c>
      <c r="D1987" t="s">
        <v>6600</v>
      </c>
      <c r="E1987" t="s">
        <v>2550</v>
      </c>
      <c r="F1987" t="s">
        <v>405</v>
      </c>
      <c r="G1987" t="s">
        <v>24</v>
      </c>
      <c r="H1987">
        <f>12830*(1.01^10)</f>
        <v>14172.301869025758</v>
      </c>
      <c r="I1987">
        <f>74490*(1.01^10)</f>
        <v>82283.302121880639</v>
      </c>
      <c r="J1987" t="s">
        <v>3650</v>
      </c>
      <c r="K1987">
        <f t="shared" ref="K1987:K2050" si="31">I1987/J1987</f>
        <v>50.98098024899668</v>
      </c>
    </row>
    <row r="1988" spans="1:11" x14ac:dyDescent="0.2">
      <c r="A1988" t="s">
        <v>411</v>
      </c>
      <c r="B1988" t="s">
        <v>960</v>
      </c>
      <c r="C1988" t="s">
        <v>6601</v>
      </c>
      <c r="D1988" t="s">
        <v>6602</v>
      </c>
      <c r="E1988" t="s">
        <v>1263</v>
      </c>
      <c r="F1988" t="s">
        <v>158</v>
      </c>
      <c r="G1988" t="s">
        <v>12</v>
      </c>
      <c r="H1988">
        <f>13404*(1.01^10)</f>
        <v>14806.354969011789</v>
      </c>
      <c r="I1988">
        <f>81840*(1.01^10)</f>
        <v>90402.27474365299</v>
      </c>
      <c r="J1988" t="s">
        <v>6603</v>
      </c>
      <c r="K1988">
        <f t="shared" si="31"/>
        <v>96.126614645811031</v>
      </c>
    </row>
    <row r="1989" spans="1:11" x14ac:dyDescent="0.2">
      <c r="A1989" t="s">
        <v>411</v>
      </c>
      <c r="B1989" t="s">
        <v>960</v>
      </c>
      <c r="C1989" t="s">
        <v>6604</v>
      </c>
      <c r="D1989" t="s">
        <v>6605</v>
      </c>
      <c r="E1989" t="s">
        <v>40</v>
      </c>
      <c r="F1989" t="s">
        <v>24</v>
      </c>
      <c r="G1989" t="s">
        <v>24</v>
      </c>
      <c r="H1989">
        <f>8066*(1.01^10)</f>
        <v>8909.882063566778</v>
      </c>
      <c r="I1989">
        <f>49014*(1.01^10)</f>
        <v>54141.948854904789</v>
      </c>
      <c r="J1989" t="s">
        <v>6606</v>
      </c>
      <c r="K1989">
        <f t="shared" si="31"/>
        <v>112.91805467361472</v>
      </c>
    </row>
    <row r="1990" spans="1:11" x14ac:dyDescent="0.2">
      <c r="A1990" t="s">
        <v>411</v>
      </c>
      <c r="B1990" t="s">
        <v>960</v>
      </c>
      <c r="C1990" t="s">
        <v>6607</v>
      </c>
      <c r="D1990" t="s">
        <v>6608</v>
      </c>
      <c r="E1990" t="s">
        <v>320</v>
      </c>
      <c r="F1990" t="s">
        <v>12</v>
      </c>
      <c r="G1990" t="s">
        <v>12</v>
      </c>
      <c r="H1990">
        <f>14124*(1.01^10)</f>
        <v>15601.682899307856</v>
      </c>
      <c r="I1990">
        <f>82437*(1.01^10)</f>
        <v>91061.734152523481</v>
      </c>
      <c r="J1990" t="s">
        <v>6609</v>
      </c>
      <c r="K1990">
        <f t="shared" si="31"/>
        <v>103.79889677589335</v>
      </c>
    </row>
    <row r="1991" spans="1:11" x14ac:dyDescent="0.2">
      <c r="A1991" t="s">
        <v>411</v>
      </c>
      <c r="B1991" t="s">
        <v>960</v>
      </c>
      <c r="C1991" t="s">
        <v>6610</v>
      </c>
      <c r="D1991" t="s">
        <v>6611</v>
      </c>
      <c r="E1991" t="s">
        <v>833</v>
      </c>
      <c r="F1991" t="s">
        <v>11</v>
      </c>
      <c r="G1991" t="s">
        <v>24</v>
      </c>
      <c r="H1991">
        <f>7453*(1.01^10)</f>
        <v>8232.7487006897081</v>
      </c>
      <c r="I1991">
        <f>41218*(1.01^10)</f>
        <v>45530.314765199037</v>
      </c>
      <c r="J1991" t="s">
        <v>6612</v>
      </c>
      <c r="K1991">
        <f t="shared" si="31"/>
        <v>65.51124426647344</v>
      </c>
    </row>
    <row r="1992" spans="1:11" x14ac:dyDescent="0.2">
      <c r="A1992" t="s">
        <v>411</v>
      </c>
      <c r="B1992" t="s">
        <v>960</v>
      </c>
      <c r="C1992" t="s">
        <v>6613</v>
      </c>
      <c r="D1992" t="s">
        <v>6614</v>
      </c>
      <c r="E1992" t="s">
        <v>2777</v>
      </c>
      <c r="F1992" t="s">
        <v>17</v>
      </c>
      <c r="G1992" t="s">
        <v>24</v>
      </c>
      <c r="H1992">
        <f>9029*(1.01^10)</f>
        <v>9973.6331703377673</v>
      </c>
      <c r="I1992">
        <f>54462*(1.01^10)</f>
        <v>60159.930194145032</v>
      </c>
      <c r="J1992" t="s">
        <v>6615</v>
      </c>
      <c r="K1992">
        <f t="shared" si="31"/>
        <v>93.885468014209295</v>
      </c>
    </row>
    <row r="1993" spans="1:11" x14ac:dyDescent="0.2">
      <c r="A1993" t="s">
        <v>411</v>
      </c>
      <c r="B1993" t="s">
        <v>716</v>
      </c>
      <c r="C1993" t="s">
        <v>6616</v>
      </c>
      <c r="D1993" t="s">
        <v>6617</v>
      </c>
      <c r="E1993" t="s">
        <v>495</v>
      </c>
      <c r="F1993" t="s">
        <v>61</v>
      </c>
      <c r="G1993" t="s">
        <v>12</v>
      </c>
      <c r="H1993">
        <f>15776*(1.01^10)</f>
        <v>17426.518650487167</v>
      </c>
      <c r="I1993">
        <f>87021*(1.01^10)</f>
        <v>96125.321975408442</v>
      </c>
      <c r="J1993" t="s">
        <v>6618</v>
      </c>
      <c r="K1993">
        <f t="shared" si="31"/>
        <v>160.30772639028808</v>
      </c>
    </row>
    <row r="1994" spans="1:11" x14ac:dyDescent="0.2">
      <c r="A1994" t="s">
        <v>411</v>
      </c>
      <c r="B1994" t="s">
        <v>716</v>
      </c>
      <c r="C1994" t="s">
        <v>6619</v>
      </c>
      <c r="D1994" t="s">
        <v>6620</v>
      </c>
      <c r="E1994" t="s">
        <v>1002</v>
      </c>
      <c r="F1994" t="s">
        <v>17</v>
      </c>
      <c r="G1994" t="s">
        <v>24</v>
      </c>
      <c r="H1994">
        <f>5934*(1.01^10)</f>
        <v>6554.8276921900888</v>
      </c>
      <c r="I1994">
        <f>30919*(1.01^10)</f>
        <v>34153.811495589041</v>
      </c>
      <c r="J1994" t="s">
        <v>6621</v>
      </c>
      <c r="K1994">
        <f t="shared" si="31"/>
        <v>51.795285859249383</v>
      </c>
    </row>
    <row r="1995" spans="1:11" x14ac:dyDescent="0.2">
      <c r="A1995" t="s">
        <v>411</v>
      </c>
      <c r="B1995" t="s">
        <v>716</v>
      </c>
      <c r="C1995" t="s">
        <v>6622</v>
      </c>
      <c r="D1995" t="s">
        <v>6623</v>
      </c>
      <c r="E1995" t="s">
        <v>918</v>
      </c>
      <c r="F1995" t="s">
        <v>374</v>
      </c>
      <c r="G1995" t="s">
        <v>12</v>
      </c>
      <c r="H1995">
        <f>25162*(1.01^10)</f>
        <v>27794.501919596732</v>
      </c>
      <c r="I1995">
        <f>140900*(1.01^10)</f>
        <v>155641.25747043875</v>
      </c>
      <c r="J1995" t="s">
        <v>6624</v>
      </c>
      <c r="K1995">
        <f t="shared" si="31"/>
        <v>130.90427636562634</v>
      </c>
    </row>
    <row r="1996" spans="1:11" x14ac:dyDescent="0.2">
      <c r="A1996" t="s">
        <v>411</v>
      </c>
      <c r="B1996" t="s">
        <v>781</v>
      </c>
      <c r="C1996" t="s">
        <v>6625</v>
      </c>
      <c r="D1996" t="s">
        <v>6626</v>
      </c>
      <c r="E1996" t="s">
        <v>203</v>
      </c>
      <c r="F1996" t="s">
        <v>24</v>
      </c>
      <c r="G1996" t="s">
        <v>24</v>
      </c>
      <c r="H1996">
        <f>13117*(1.01^10)</f>
        <v>14489.328419018773</v>
      </c>
      <c r="I1996">
        <f>71491*(1.01^10)</f>
        <v>78970.540367772439</v>
      </c>
      <c r="J1996" t="s">
        <v>6627</v>
      </c>
      <c r="K1996">
        <f t="shared" si="31"/>
        <v>261.89944737761647</v>
      </c>
    </row>
    <row r="1997" spans="1:11" x14ac:dyDescent="0.2">
      <c r="A1997" t="s">
        <v>411</v>
      </c>
      <c r="B1997" t="s">
        <v>781</v>
      </c>
      <c r="C1997" t="s">
        <v>6628</v>
      </c>
      <c r="D1997" t="s">
        <v>6629</v>
      </c>
      <c r="E1997" t="s">
        <v>36</v>
      </c>
      <c r="F1997" t="s">
        <v>17</v>
      </c>
      <c r="G1997" t="s">
        <v>382</v>
      </c>
      <c r="H1997">
        <f>92049*(1.01^10)</f>
        <v>101679.36202197599</v>
      </c>
      <c r="I1997">
        <f>442950*(1.01^10)</f>
        <v>489292.37045089313</v>
      </c>
      <c r="J1997" t="s">
        <v>6630</v>
      </c>
      <c r="K1997">
        <f t="shared" si="31"/>
        <v>2272.2907651088703</v>
      </c>
    </row>
    <row r="1998" spans="1:11" x14ac:dyDescent="0.2">
      <c r="A1998" t="s">
        <v>411</v>
      </c>
      <c r="B1998" t="s">
        <v>781</v>
      </c>
      <c r="C1998" t="s">
        <v>6631</v>
      </c>
      <c r="D1998" t="s">
        <v>6632</v>
      </c>
      <c r="E1998" t="s">
        <v>67</v>
      </c>
      <c r="F1998" t="s">
        <v>24</v>
      </c>
      <c r="G1998" t="s">
        <v>24</v>
      </c>
      <c r="H1998">
        <f>12219*(1.01^10)</f>
        <v>13497.377750399512</v>
      </c>
      <c r="I1998">
        <f>67291*(1.01^10)</f>
        <v>74331.127441045377</v>
      </c>
      <c r="J1998" t="s">
        <v>6633</v>
      </c>
      <c r="K1998">
        <f t="shared" si="31"/>
        <v>260.33597450632311</v>
      </c>
    </row>
    <row r="1999" spans="1:11" x14ac:dyDescent="0.2">
      <c r="A1999" t="s">
        <v>411</v>
      </c>
      <c r="B1999" t="s">
        <v>781</v>
      </c>
      <c r="C1999" t="s">
        <v>6634</v>
      </c>
      <c r="D1999" t="s">
        <v>6635</v>
      </c>
      <c r="E1999" t="s">
        <v>121</v>
      </c>
      <c r="F1999" t="s">
        <v>11</v>
      </c>
      <c r="G1999" t="s">
        <v>24</v>
      </c>
      <c r="H1999">
        <f>7995*(1.01^10)</f>
        <v>8831.4538926625828</v>
      </c>
      <c r="I1999">
        <f>44602*(1.01^10)</f>
        <v>49268.356037590551</v>
      </c>
      <c r="J1999" t="s">
        <v>6636</v>
      </c>
      <c r="K1999">
        <f t="shared" si="31"/>
        <v>142.41878949410463</v>
      </c>
    </row>
    <row r="2000" spans="1:11" x14ac:dyDescent="0.2">
      <c r="A2000" t="s">
        <v>411</v>
      </c>
      <c r="B2000" t="s">
        <v>781</v>
      </c>
      <c r="C2000" t="s">
        <v>6637</v>
      </c>
      <c r="D2000" t="s">
        <v>6638</v>
      </c>
      <c r="E2000" t="s">
        <v>172</v>
      </c>
      <c r="F2000" t="s">
        <v>5</v>
      </c>
      <c r="G2000" t="s">
        <v>24</v>
      </c>
      <c r="H2000">
        <f>6587*(1.01^10)</f>
        <v>7276.1459400836056</v>
      </c>
      <c r="I2000">
        <f>33570*(1.01^10)</f>
        <v>37082.164750054144</v>
      </c>
      <c r="J2000" t="s">
        <v>6639</v>
      </c>
      <c r="K2000">
        <f t="shared" si="31"/>
        <v>114.47232435035545</v>
      </c>
    </row>
    <row r="2001" spans="1:11" x14ac:dyDescent="0.2">
      <c r="A2001" t="s">
        <v>411</v>
      </c>
      <c r="B2001" t="s">
        <v>781</v>
      </c>
      <c r="C2001" t="s">
        <v>6640</v>
      </c>
      <c r="D2001" t="s">
        <v>6641</v>
      </c>
      <c r="E2001" t="s">
        <v>2410</v>
      </c>
      <c r="F2001" t="s">
        <v>5</v>
      </c>
      <c r="G2001" t="s">
        <v>24</v>
      </c>
      <c r="H2001">
        <f>10145*(1.01^10)</f>
        <v>11206.391462296671</v>
      </c>
      <c r="I2001">
        <f>54109*(1.01^10)</f>
        <v>59769.998583874876</v>
      </c>
      <c r="J2001" t="s">
        <v>6642</v>
      </c>
      <c r="K2001">
        <f t="shared" si="31"/>
        <v>117.27886073282097</v>
      </c>
    </row>
    <row r="2002" spans="1:11" x14ac:dyDescent="0.2">
      <c r="A2002" t="s">
        <v>411</v>
      </c>
      <c r="B2002" t="s">
        <v>781</v>
      </c>
      <c r="C2002" t="s">
        <v>6643</v>
      </c>
      <c r="D2002" t="s">
        <v>6644</v>
      </c>
      <c r="E2002" t="s">
        <v>404</v>
      </c>
      <c r="F2002" t="s">
        <v>44</v>
      </c>
      <c r="G2002" t="s">
        <v>12</v>
      </c>
      <c r="H2002">
        <f>10661*(1.01^10)</f>
        <v>11776.376479008853</v>
      </c>
      <c r="I2002">
        <f>54039*(1.01^10)</f>
        <v>59692.675035096094</v>
      </c>
      <c r="J2002" t="s">
        <v>6645</v>
      </c>
      <c r="K2002">
        <f t="shared" si="31"/>
        <v>169.58628095995934</v>
      </c>
    </row>
    <row r="2003" spans="1:11" x14ac:dyDescent="0.2">
      <c r="A2003" t="s">
        <v>411</v>
      </c>
      <c r="B2003" t="s">
        <v>781</v>
      </c>
      <c r="C2003" t="s">
        <v>6646</v>
      </c>
      <c r="D2003" t="s">
        <v>6647</v>
      </c>
      <c r="E2003" t="s">
        <v>1295</v>
      </c>
      <c r="F2003" t="s">
        <v>61</v>
      </c>
      <c r="G2003" t="s">
        <v>24</v>
      </c>
      <c r="H2003">
        <f>11273*(1.01^10)</f>
        <v>12452.405219760511</v>
      </c>
      <c r="I2003">
        <f>57870*(1.01^10)</f>
        <v>63924.482397546417</v>
      </c>
      <c r="J2003" t="s">
        <v>6648</v>
      </c>
      <c r="K2003">
        <f t="shared" si="31"/>
        <v>154.36594720616844</v>
      </c>
    </row>
    <row r="2004" spans="1:11" x14ac:dyDescent="0.2">
      <c r="A2004" t="s">
        <v>411</v>
      </c>
      <c r="B2004" t="s">
        <v>1893</v>
      </c>
      <c r="C2004" t="s">
        <v>6649</v>
      </c>
      <c r="D2004" t="s">
        <v>6650</v>
      </c>
      <c r="E2004" t="s">
        <v>1912</v>
      </c>
      <c r="F2004" t="s">
        <v>744</v>
      </c>
      <c r="G2004" t="s">
        <v>12</v>
      </c>
      <c r="H2004">
        <f>23147*(1.01^10)</f>
        <v>25568.688336893156</v>
      </c>
      <c r="I2004">
        <f>137939*(1.01^10)</f>
        <v>152370.47135709616</v>
      </c>
      <c r="J2004" t="s">
        <v>6651</v>
      </c>
      <c r="K2004">
        <f t="shared" si="31"/>
        <v>168.43961016703091</v>
      </c>
    </row>
    <row r="2005" spans="1:11" x14ac:dyDescent="0.2">
      <c r="A2005" t="s">
        <v>411</v>
      </c>
      <c r="B2005" t="s">
        <v>1893</v>
      </c>
      <c r="C2005" t="s">
        <v>6652</v>
      </c>
      <c r="D2005" t="s">
        <v>6653</v>
      </c>
      <c r="E2005" t="s">
        <v>324</v>
      </c>
      <c r="F2005" t="s">
        <v>458</v>
      </c>
      <c r="G2005" t="s">
        <v>24</v>
      </c>
      <c r="H2005">
        <f>14379*(1.01^10)</f>
        <v>15883.361541287713</v>
      </c>
      <c r="I2005">
        <f>90402*(1.01^10)</f>
        <v>99860.049381423727</v>
      </c>
      <c r="J2005" t="s">
        <v>6654</v>
      </c>
      <c r="K2005">
        <f t="shared" si="31"/>
        <v>255.7890609155321</v>
      </c>
    </row>
    <row r="2006" spans="1:11" x14ac:dyDescent="0.2">
      <c r="A2006" t="s">
        <v>411</v>
      </c>
      <c r="B2006" t="s">
        <v>1893</v>
      </c>
      <c r="C2006" t="s">
        <v>6655</v>
      </c>
      <c r="D2006" t="s">
        <v>6656</v>
      </c>
      <c r="E2006" t="s">
        <v>36</v>
      </c>
      <c r="F2006" t="s">
        <v>11</v>
      </c>
      <c r="G2006" t="s">
        <v>24</v>
      </c>
      <c r="H2006">
        <f>7746*(1.01^10)</f>
        <v>8556.4029834351913</v>
      </c>
      <c r="I2006">
        <f>43844*(1.01^10)</f>
        <v>48431.052466528861</v>
      </c>
      <c r="J2006" t="s">
        <v>1077</v>
      </c>
      <c r="K2006">
        <f t="shared" si="31"/>
        <v>121.6860614736906</v>
      </c>
    </row>
    <row r="2007" spans="1:11" x14ac:dyDescent="0.2">
      <c r="A2007" t="s">
        <v>411</v>
      </c>
      <c r="B2007" t="s">
        <v>1893</v>
      </c>
      <c r="C2007" t="s">
        <v>6657</v>
      </c>
      <c r="D2007" t="s">
        <v>6658</v>
      </c>
      <c r="E2007" t="s">
        <v>40</v>
      </c>
      <c r="F2007" t="s">
        <v>92</v>
      </c>
      <c r="G2007" t="s">
        <v>24</v>
      </c>
      <c r="H2007">
        <f>14503*(1.01^10)</f>
        <v>16020.334684838703</v>
      </c>
      <c r="I2007">
        <f>85832*(1.01^10)</f>
        <v>94811.926268294526</v>
      </c>
      <c r="J2007" t="s">
        <v>6659</v>
      </c>
      <c r="K2007">
        <f t="shared" si="31"/>
        <v>74.071817397105093</v>
      </c>
    </row>
    <row r="2008" spans="1:11" x14ac:dyDescent="0.2">
      <c r="A2008" t="s">
        <v>411</v>
      </c>
      <c r="B2008" t="s">
        <v>1893</v>
      </c>
      <c r="C2008" t="s">
        <v>6660</v>
      </c>
      <c r="D2008" t="s">
        <v>6661</v>
      </c>
      <c r="E2008" t="s">
        <v>337</v>
      </c>
      <c r="F2008" t="s">
        <v>744</v>
      </c>
      <c r="G2008" t="s">
        <v>24</v>
      </c>
      <c r="H2008">
        <f>6253*(1.01^10)</f>
        <v>6907.2021501962636</v>
      </c>
      <c r="I2008">
        <f>37107*(1.01^10)</f>
        <v>40989.213207633577</v>
      </c>
      <c r="J2008" t="s">
        <v>3393</v>
      </c>
      <c r="K2008">
        <f t="shared" si="31"/>
        <v>48.45060662840848</v>
      </c>
    </row>
    <row r="2009" spans="1:11" x14ac:dyDescent="0.2">
      <c r="A2009" t="s">
        <v>445</v>
      </c>
      <c r="B2009" t="s">
        <v>1200</v>
      </c>
      <c r="C2009" t="s">
        <v>6662</v>
      </c>
      <c r="D2009" t="s">
        <v>6663</v>
      </c>
      <c r="E2009" t="s">
        <v>1350</v>
      </c>
      <c r="F2009" t="s">
        <v>17</v>
      </c>
      <c r="G2009" t="s">
        <v>17</v>
      </c>
      <c r="H2009">
        <f>53825*(1.01^10)</f>
        <v>59456.285900258095</v>
      </c>
      <c r="I2009">
        <f>270952*(1.01^10)</f>
        <v>299299.57412441674</v>
      </c>
      <c r="J2009" t="s">
        <v>6664</v>
      </c>
      <c r="K2009">
        <f t="shared" si="31"/>
        <v>266.64027065451921</v>
      </c>
    </row>
    <row r="2010" spans="1:11" x14ac:dyDescent="0.2">
      <c r="A2010" t="s">
        <v>445</v>
      </c>
      <c r="B2010" t="s">
        <v>1200</v>
      </c>
      <c r="C2010" t="s">
        <v>6665</v>
      </c>
      <c r="D2010" t="s">
        <v>6666</v>
      </c>
      <c r="E2010" t="s">
        <v>589</v>
      </c>
      <c r="F2010" t="s">
        <v>24</v>
      </c>
      <c r="G2010" t="s">
        <v>24</v>
      </c>
      <c r="H2010">
        <f>15736*(1.01^10)</f>
        <v>17382.333765470717</v>
      </c>
      <c r="I2010">
        <f>78061*(1.01^10)</f>
        <v>86227.907731724059</v>
      </c>
      <c r="J2010" t="s">
        <v>6667</v>
      </c>
      <c r="K2010">
        <f t="shared" si="31"/>
        <v>516.27316395197886</v>
      </c>
    </row>
    <row r="2011" spans="1:11" x14ac:dyDescent="0.2">
      <c r="A2011" t="s">
        <v>445</v>
      </c>
      <c r="B2011" t="s">
        <v>1200</v>
      </c>
      <c r="C2011" t="s">
        <v>6668</v>
      </c>
      <c r="D2011" t="s">
        <v>6669</v>
      </c>
      <c r="E2011" t="s">
        <v>347</v>
      </c>
      <c r="F2011" t="s">
        <v>24</v>
      </c>
      <c r="G2011" t="s">
        <v>24</v>
      </c>
      <c r="H2011">
        <f>29562*(1.01^10)</f>
        <v>32654.839271406036</v>
      </c>
      <c r="I2011">
        <f>144393*(1.01^10)</f>
        <v>159499.70255450008</v>
      </c>
      <c r="J2011" t="s">
        <v>6670</v>
      </c>
      <c r="K2011">
        <f t="shared" si="31"/>
        <v>568.70394582889855</v>
      </c>
    </row>
    <row r="2012" spans="1:11" x14ac:dyDescent="0.2">
      <c r="A2012" t="s">
        <v>445</v>
      </c>
      <c r="B2012" t="s">
        <v>1200</v>
      </c>
      <c r="C2012" t="s">
        <v>6671</v>
      </c>
      <c r="D2012" t="s">
        <v>6672</v>
      </c>
      <c r="E2012" t="s">
        <v>1032</v>
      </c>
      <c r="F2012" t="s">
        <v>24</v>
      </c>
      <c r="G2012" t="s">
        <v>17</v>
      </c>
      <c r="H2012">
        <f>52149*(1.01^10)</f>
        <v>57604.939218068917</v>
      </c>
      <c r="I2012">
        <f>253094*(1.01^10)</f>
        <v>279573.23220882344</v>
      </c>
      <c r="J2012" t="s">
        <v>6673</v>
      </c>
      <c r="K2012">
        <f t="shared" si="31"/>
        <v>258.43695820588044</v>
      </c>
    </row>
    <row r="2013" spans="1:11" x14ac:dyDescent="0.2">
      <c r="A2013" t="s">
        <v>445</v>
      </c>
      <c r="B2013" t="s">
        <v>1200</v>
      </c>
      <c r="C2013" t="s">
        <v>6674</v>
      </c>
      <c r="D2013" t="s">
        <v>6675</v>
      </c>
      <c r="E2013" t="s">
        <v>185</v>
      </c>
      <c r="F2013" t="s">
        <v>5</v>
      </c>
      <c r="G2013" t="s">
        <v>24</v>
      </c>
      <c r="H2013">
        <f>5842*(1.01^10)</f>
        <v>6453.2024566522578</v>
      </c>
      <c r="I2013">
        <f>26671*(1.01^10)</f>
        <v>29461.376706842242</v>
      </c>
      <c r="J2013" t="s">
        <v>6676</v>
      </c>
      <c r="K2013">
        <f t="shared" si="31"/>
        <v>325.20069792502102</v>
      </c>
    </row>
    <row r="2014" spans="1:11" x14ac:dyDescent="0.2">
      <c r="A2014" t="s">
        <v>445</v>
      </c>
      <c r="B2014" t="s">
        <v>1200</v>
      </c>
      <c r="C2014" t="s">
        <v>6677</v>
      </c>
      <c r="D2014" t="s">
        <v>6678</v>
      </c>
      <c r="E2014" t="s">
        <v>1545</v>
      </c>
      <c r="F2014" t="s">
        <v>158</v>
      </c>
      <c r="G2014" t="s">
        <v>24</v>
      </c>
      <c r="H2014">
        <f>6965*(1.01^10)</f>
        <v>7693.6931034890413</v>
      </c>
      <c r="I2014">
        <f>33809*(1.01^10)</f>
        <v>37346.16943802742</v>
      </c>
      <c r="J2014" t="s">
        <v>6679</v>
      </c>
      <c r="K2014">
        <f t="shared" si="31"/>
        <v>286.42296781216209</v>
      </c>
    </row>
    <row r="2015" spans="1:11" x14ac:dyDescent="0.2">
      <c r="A2015" t="s">
        <v>445</v>
      </c>
      <c r="B2015" t="s">
        <v>1200</v>
      </c>
      <c r="C2015" t="s">
        <v>6680</v>
      </c>
      <c r="D2015" t="s">
        <v>6681</v>
      </c>
      <c r="E2015" t="s">
        <v>315</v>
      </c>
      <c r="F2015" t="s">
        <v>17</v>
      </c>
      <c r="G2015" t="s">
        <v>24</v>
      </c>
      <c r="H2015">
        <f>10903*(1.01^10)</f>
        <v>12043.695033358365</v>
      </c>
      <c r="I2015">
        <f>51001*(1.01^10)</f>
        <v>56336.833018096855</v>
      </c>
      <c r="J2015" t="s">
        <v>6682</v>
      </c>
      <c r="K2015">
        <f t="shared" si="31"/>
        <v>191.50188313662181</v>
      </c>
    </row>
    <row r="2016" spans="1:11" x14ac:dyDescent="0.2">
      <c r="A2016" t="s">
        <v>445</v>
      </c>
      <c r="B2016" t="s">
        <v>1200</v>
      </c>
      <c r="C2016" t="s">
        <v>6683</v>
      </c>
      <c r="D2016" t="s">
        <v>6684</v>
      </c>
      <c r="E2016" t="s">
        <v>6</v>
      </c>
      <c r="F2016" t="s">
        <v>24</v>
      </c>
      <c r="G2016" t="s">
        <v>24</v>
      </c>
      <c r="H2016">
        <f>1869*(1.01^10)</f>
        <v>2064.5387523935415</v>
      </c>
      <c r="I2016">
        <f>8736*(1.01^10)</f>
        <v>9649.9788875922841</v>
      </c>
      <c r="J2016" t="s">
        <v>6685</v>
      </c>
      <c r="K2016">
        <f t="shared" si="31"/>
        <v>429.85283522048076</v>
      </c>
    </row>
    <row r="2017" spans="1:11" x14ac:dyDescent="0.2">
      <c r="A2017" t="s">
        <v>445</v>
      </c>
      <c r="B2017" t="s">
        <v>1200</v>
      </c>
      <c r="C2017" t="s">
        <v>6686</v>
      </c>
      <c r="D2017" t="s">
        <v>6687</v>
      </c>
      <c r="E2017" t="s">
        <v>72</v>
      </c>
      <c r="F2017" t="s">
        <v>12</v>
      </c>
      <c r="G2017" t="s">
        <v>24</v>
      </c>
      <c r="H2017">
        <f>4230*(1.01^10)</f>
        <v>4672.5515904893964</v>
      </c>
      <c r="I2017">
        <f>20425*(1.01^10)</f>
        <v>22561.906911523856</v>
      </c>
      <c r="J2017" t="s">
        <v>6688</v>
      </c>
      <c r="K2017">
        <f t="shared" si="31"/>
        <v>211.58577465114294</v>
      </c>
    </row>
    <row r="2018" spans="1:11" x14ac:dyDescent="0.2">
      <c r="A2018" t="s">
        <v>445</v>
      </c>
      <c r="B2018" t="s">
        <v>1350</v>
      </c>
      <c r="C2018" t="s">
        <v>6662</v>
      </c>
      <c r="D2018" t="s">
        <v>6663</v>
      </c>
      <c r="E2018" t="s">
        <v>1506</v>
      </c>
      <c r="F2018" t="s">
        <v>24</v>
      </c>
      <c r="G2018" t="s">
        <v>24</v>
      </c>
      <c r="H2018">
        <f>10740*(1.01^10)</f>
        <v>11863.641626916338</v>
      </c>
      <c r="I2018">
        <f>53842*(1.01^10)</f>
        <v>59475.064476390085</v>
      </c>
      <c r="J2018" t="s">
        <v>6689</v>
      </c>
      <c r="K2018">
        <f t="shared" si="31"/>
        <v>797.5595510690431</v>
      </c>
    </row>
    <row r="2019" spans="1:11" x14ac:dyDescent="0.2">
      <c r="A2019" t="s">
        <v>445</v>
      </c>
      <c r="B2019" t="s">
        <v>1350</v>
      </c>
      <c r="C2019" t="s">
        <v>6690</v>
      </c>
      <c r="D2019" t="s">
        <v>6691</v>
      </c>
      <c r="E2019" t="s">
        <v>1101</v>
      </c>
      <c r="F2019" t="s">
        <v>24</v>
      </c>
      <c r="G2019" t="s">
        <v>24</v>
      </c>
      <c r="H2019">
        <f>40127*(1.01^10)</f>
        <v>44325.17202637541</v>
      </c>
      <c r="I2019">
        <f>172146*(1.01^10)</f>
        <v>190156.28040103725</v>
      </c>
      <c r="J2019" t="s">
        <v>6692</v>
      </c>
      <c r="K2019">
        <f t="shared" si="31"/>
        <v>887.60420334178696</v>
      </c>
    </row>
    <row r="2020" spans="1:11" x14ac:dyDescent="0.2">
      <c r="A2020" t="s">
        <v>445</v>
      </c>
      <c r="B2020" t="s">
        <v>1350</v>
      </c>
      <c r="C2020" t="s">
        <v>6674</v>
      </c>
      <c r="D2020" t="s">
        <v>6675</v>
      </c>
      <c r="E2020" t="s">
        <v>368</v>
      </c>
      <c r="F2020" t="s">
        <v>12</v>
      </c>
      <c r="G2020" t="s">
        <v>12</v>
      </c>
      <c r="H2020">
        <f>41413*(1.01^10)</f>
        <v>45745.716079654223</v>
      </c>
      <c r="I2020">
        <f>192587*(1.01^10)</f>
        <v>212735.86126656769</v>
      </c>
      <c r="J2020" t="s">
        <v>6693</v>
      </c>
      <c r="K2020">
        <f t="shared" si="31"/>
        <v>1015.2511890952828</v>
      </c>
    </row>
    <row r="2021" spans="1:11" x14ac:dyDescent="0.2">
      <c r="A2021" t="s">
        <v>445</v>
      </c>
      <c r="B2021" t="s">
        <v>1350</v>
      </c>
      <c r="C2021" t="s">
        <v>6677</v>
      </c>
      <c r="D2021" t="s">
        <v>6678</v>
      </c>
      <c r="E2021" t="s">
        <v>453</v>
      </c>
      <c r="F2021" t="s">
        <v>12</v>
      </c>
      <c r="G2021" t="s">
        <v>11</v>
      </c>
      <c r="H2021">
        <f>85800*(1.01^10)</f>
        <v>94776.578360281361</v>
      </c>
      <c r="I2021">
        <f>425809*(1.01^10)</f>
        <v>470358.04259921965</v>
      </c>
      <c r="J2021" t="s">
        <v>6694</v>
      </c>
      <c r="K2021">
        <f t="shared" si="31"/>
        <v>1354.0994381779108</v>
      </c>
    </row>
    <row r="2022" spans="1:11" x14ac:dyDescent="0.2">
      <c r="A2022" t="s">
        <v>445</v>
      </c>
      <c r="B2022" t="s">
        <v>1350</v>
      </c>
      <c r="C2022" t="s">
        <v>6680</v>
      </c>
      <c r="D2022" t="s">
        <v>6681</v>
      </c>
      <c r="E2022" t="s">
        <v>839</v>
      </c>
      <c r="F2022" t="s">
        <v>11</v>
      </c>
      <c r="G2022" t="s">
        <v>12</v>
      </c>
      <c r="H2022">
        <f>29136*(1.01^10)</f>
        <v>32184.270245980861</v>
      </c>
      <c r="I2022">
        <f>152733*(1.01^10)</f>
        <v>168712.25108042953</v>
      </c>
      <c r="J2022" t="s">
        <v>6695</v>
      </c>
      <c r="K2022">
        <f t="shared" si="31"/>
        <v>814.25350581971497</v>
      </c>
    </row>
    <row r="2023" spans="1:11" x14ac:dyDescent="0.2">
      <c r="A2023" t="s">
        <v>445</v>
      </c>
      <c r="B2023" t="s">
        <v>1350</v>
      </c>
      <c r="C2023" t="s">
        <v>6683</v>
      </c>
      <c r="D2023" t="s">
        <v>6684</v>
      </c>
      <c r="E2023" t="s">
        <v>631</v>
      </c>
      <c r="F2023" t="s">
        <v>24</v>
      </c>
      <c r="G2023" t="s">
        <v>17</v>
      </c>
      <c r="H2023">
        <f>55197*(1.01^10)</f>
        <v>60971.827456322266</v>
      </c>
      <c r="I2023">
        <f>257905*(1.01^10)</f>
        <v>284887.56925417675</v>
      </c>
      <c r="J2023" t="s">
        <v>6696</v>
      </c>
      <c r="K2023">
        <f t="shared" si="31"/>
        <v>1065.0149651956672</v>
      </c>
    </row>
    <row r="2024" spans="1:11" x14ac:dyDescent="0.2">
      <c r="A2024" t="s">
        <v>445</v>
      </c>
      <c r="B2024" t="s">
        <v>1350</v>
      </c>
      <c r="C2024" t="s">
        <v>6686</v>
      </c>
      <c r="D2024" t="s">
        <v>6687</v>
      </c>
      <c r="E2024" t="s">
        <v>1549</v>
      </c>
      <c r="F2024" t="s">
        <v>24</v>
      </c>
      <c r="G2024" t="s">
        <v>12</v>
      </c>
      <c r="H2024">
        <f>27959*(1.01^10)</f>
        <v>30884.130004371873</v>
      </c>
      <c r="I2024">
        <f>139122*(1.01^10)</f>
        <v>153677.23933145762</v>
      </c>
      <c r="J2024" t="s">
        <v>6697</v>
      </c>
      <c r="K2024">
        <f t="shared" si="31"/>
        <v>807.91693687183295</v>
      </c>
    </row>
    <row r="2025" spans="1:11" x14ac:dyDescent="0.2">
      <c r="A2025" t="s">
        <v>445</v>
      </c>
      <c r="B2025" t="s">
        <v>1350</v>
      </c>
      <c r="C2025" t="s">
        <v>6698</v>
      </c>
      <c r="D2025" t="s">
        <v>6699</v>
      </c>
      <c r="E2025" t="s">
        <v>407</v>
      </c>
      <c r="F2025" t="s">
        <v>56</v>
      </c>
      <c r="G2025" t="s">
        <v>24</v>
      </c>
      <c r="H2025">
        <f>51962*(1.01^10)</f>
        <v>57398.374880617019</v>
      </c>
      <c r="I2025">
        <f>249508*(1.01^10)</f>
        <v>275612.05726709886</v>
      </c>
      <c r="J2025" t="s">
        <v>6700</v>
      </c>
      <c r="K2025">
        <f t="shared" si="31"/>
        <v>650.63940924174324</v>
      </c>
    </row>
    <row r="2026" spans="1:11" x14ac:dyDescent="0.2">
      <c r="A2026" t="s">
        <v>445</v>
      </c>
      <c r="B2026" t="s">
        <v>1350</v>
      </c>
      <c r="C2026" t="s">
        <v>6701</v>
      </c>
      <c r="D2026" t="s">
        <v>6702</v>
      </c>
      <c r="E2026" t="s">
        <v>1617</v>
      </c>
      <c r="F2026" t="s">
        <v>158</v>
      </c>
      <c r="G2026" t="s">
        <v>12</v>
      </c>
      <c r="H2026">
        <f>72340*(1.01^10)</f>
        <v>79908.364552246552</v>
      </c>
      <c r="I2026">
        <f>305606*(1.01^10)</f>
        <v>337579.14925841661</v>
      </c>
      <c r="J2026" t="s">
        <v>6703</v>
      </c>
      <c r="K2026">
        <f t="shared" si="31"/>
        <v>1396.2039292012853</v>
      </c>
    </row>
    <row r="2027" spans="1:11" x14ac:dyDescent="0.2">
      <c r="A2027" t="s">
        <v>445</v>
      </c>
      <c r="B2027" t="s">
        <v>577</v>
      </c>
      <c r="C2027" t="s">
        <v>6704</v>
      </c>
      <c r="D2027" t="s">
        <v>6705</v>
      </c>
      <c r="E2027" t="s">
        <v>667</v>
      </c>
      <c r="F2027" t="s">
        <v>333</v>
      </c>
      <c r="G2027" t="s">
        <v>17</v>
      </c>
      <c r="H2027">
        <f>53360*(1.01^10)</f>
        <v>58942.636611941882</v>
      </c>
      <c r="I2027">
        <f>279581*(1.01^10)</f>
        <v>308831.35844459006</v>
      </c>
      <c r="J2027" t="s">
        <v>6706</v>
      </c>
      <c r="K2027">
        <f t="shared" si="31"/>
        <v>690.32415467024032</v>
      </c>
    </row>
    <row r="2028" spans="1:11" x14ac:dyDescent="0.2">
      <c r="A2028" t="s">
        <v>445</v>
      </c>
      <c r="B2028" t="s">
        <v>577</v>
      </c>
      <c r="C2028" t="s">
        <v>6707</v>
      </c>
      <c r="D2028" t="s">
        <v>6708</v>
      </c>
      <c r="E2028" t="s">
        <v>493</v>
      </c>
      <c r="F2028" t="s">
        <v>5</v>
      </c>
      <c r="G2028" t="s">
        <v>11</v>
      </c>
      <c r="H2028">
        <f>54891*(1.01^10)</f>
        <v>60633.813085946436</v>
      </c>
      <c r="I2028">
        <f>280438*(1.01^10)</f>
        <v>309778.01960606745</v>
      </c>
      <c r="J2028" t="s">
        <v>6709</v>
      </c>
      <c r="K2028">
        <f t="shared" si="31"/>
        <v>621.47851836383529</v>
      </c>
    </row>
    <row r="2029" spans="1:11" x14ac:dyDescent="0.2">
      <c r="A2029" t="s">
        <v>445</v>
      </c>
      <c r="B2029" t="s">
        <v>577</v>
      </c>
      <c r="C2029" t="s">
        <v>6710</v>
      </c>
      <c r="D2029" t="s">
        <v>6711</v>
      </c>
      <c r="E2029" t="s">
        <v>1140</v>
      </c>
      <c r="F2029" t="s">
        <v>24</v>
      </c>
      <c r="G2029" t="s">
        <v>11</v>
      </c>
      <c r="H2029">
        <f>50989*(1.01^10)</f>
        <v>56323.577552591916</v>
      </c>
      <c r="I2029">
        <f>258223*(1.01^10)</f>
        <v>285238.83909005753</v>
      </c>
      <c r="J2029" t="s">
        <v>6712</v>
      </c>
      <c r="K2029">
        <f t="shared" si="31"/>
        <v>647.35705410972832</v>
      </c>
    </row>
    <row r="2030" spans="1:11" x14ac:dyDescent="0.2">
      <c r="A2030" t="s">
        <v>445</v>
      </c>
      <c r="B2030" t="s">
        <v>577</v>
      </c>
      <c r="C2030" t="s">
        <v>6713</v>
      </c>
      <c r="D2030" t="s">
        <v>6714</v>
      </c>
      <c r="E2030" t="s">
        <v>67</v>
      </c>
      <c r="F2030" t="s">
        <v>24</v>
      </c>
      <c r="G2030" t="s">
        <v>11</v>
      </c>
      <c r="H2030">
        <f>16581*(1.01^10)</f>
        <v>18315.739461443187</v>
      </c>
      <c r="I2030">
        <f>80847*(1.01^10)</f>
        <v>89305.384973119668</v>
      </c>
      <c r="J2030" t="s">
        <v>6715</v>
      </c>
      <c r="K2030">
        <f t="shared" si="31"/>
        <v>492.71714705853873</v>
      </c>
    </row>
    <row r="2031" spans="1:11" x14ac:dyDescent="0.2">
      <c r="A2031" t="s">
        <v>445</v>
      </c>
      <c r="B2031" t="s">
        <v>577</v>
      </c>
      <c r="C2031" t="s">
        <v>6716</v>
      </c>
      <c r="D2031" t="s">
        <v>6717</v>
      </c>
      <c r="E2031" t="s">
        <v>1010</v>
      </c>
      <c r="F2031" t="s">
        <v>24</v>
      </c>
      <c r="G2031" t="s">
        <v>24</v>
      </c>
      <c r="H2031">
        <f>22633*(1.01^10)</f>
        <v>25000.912564431797</v>
      </c>
      <c r="I2031">
        <f>109094*(1.01^10)</f>
        <v>120507.64614960997</v>
      </c>
      <c r="J2031" t="s">
        <v>6718</v>
      </c>
      <c r="K2031">
        <f t="shared" si="31"/>
        <v>470.17503485913142</v>
      </c>
    </row>
    <row r="2032" spans="1:11" x14ac:dyDescent="0.2">
      <c r="A2032" t="s">
        <v>445</v>
      </c>
      <c r="B2032" t="s">
        <v>3308</v>
      </c>
      <c r="C2032" t="s">
        <v>6719</v>
      </c>
      <c r="D2032" t="s">
        <v>6720</v>
      </c>
      <c r="E2032" t="s">
        <v>589</v>
      </c>
      <c r="F2032" t="s">
        <v>24</v>
      </c>
      <c r="G2032" t="s">
        <v>5</v>
      </c>
      <c r="H2032">
        <f>49111*(1.01^10)</f>
        <v>54249.097201069679</v>
      </c>
      <c r="I2032">
        <f>234235*(1.01^10)</f>
        <v>258741.16354569353</v>
      </c>
      <c r="J2032" t="s">
        <v>6721</v>
      </c>
      <c r="K2032">
        <f t="shared" si="31"/>
        <v>1167.8190048522215</v>
      </c>
    </row>
    <row r="2033" spans="1:11" x14ac:dyDescent="0.2">
      <c r="A2033" t="s">
        <v>445</v>
      </c>
      <c r="B2033" t="s">
        <v>3308</v>
      </c>
      <c r="C2033" t="s">
        <v>6722</v>
      </c>
      <c r="D2033" t="s">
        <v>6723</v>
      </c>
      <c r="E2033" t="s">
        <v>977</v>
      </c>
      <c r="F2033" t="s">
        <v>24</v>
      </c>
      <c r="G2033" t="s">
        <v>24</v>
      </c>
      <c r="H2033">
        <f>36482*(1.01^10)</f>
        <v>40298.824379251571</v>
      </c>
      <c r="I2033">
        <f>195983*(1.01^10)</f>
        <v>216487.15800446415</v>
      </c>
      <c r="J2033" t="s">
        <v>6724</v>
      </c>
      <c r="K2033">
        <f t="shared" si="31"/>
        <v>810.07893186154911</v>
      </c>
    </row>
    <row r="2034" spans="1:11" x14ac:dyDescent="0.2">
      <c r="A2034" t="s">
        <v>445</v>
      </c>
      <c r="B2034" t="s">
        <v>3308</v>
      </c>
      <c r="C2034" t="s">
        <v>6725</v>
      </c>
      <c r="D2034" t="s">
        <v>6726</v>
      </c>
      <c r="E2034" t="s">
        <v>1233</v>
      </c>
      <c r="F2034" t="s">
        <v>92</v>
      </c>
      <c r="G2034" t="s">
        <v>24</v>
      </c>
      <c r="H2034">
        <f>57946*(1.01^10)</f>
        <v>64008.433679077672</v>
      </c>
      <c r="I2034">
        <f>306065*(1.01^10)</f>
        <v>338086.1708139804</v>
      </c>
      <c r="J2034" t="s">
        <v>6727</v>
      </c>
      <c r="K2034">
        <f t="shared" si="31"/>
        <v>703.23429061229922</v>
      </c>
    </row>
    <row r="2035" spans="1:11" x14ac:dyDescent="0.2">
      <c r="A2035" t="s">
        <v>445</v>
      </c>
      <c r="B2035" t="s">
        <v>3308</v>
      </c>
      <c r="C2035" t="s">
        <v>6728</v>
      </c>
      <c r="D2035" t="s">
        <v>6729</v>
      </c>
      <c r="E2035" t="s">
        <v>121</v>
      </c>
      <c r="F2035" t="s">
        <v>11</v>
      </c>
      <c r="G2035" t="s">
        <v>12</v>
      </c>
      <c r="H2035">
        <f>27845*(1.01^10)</f>
        <v>30758.203082074997</v>
      </c>
      <c r="I2035">
        <f>142845*(1.01^10)</f>
        <v>157789.74750436353</v>
      </c>
      <c r="J2035" t="s">
        <v>6730</v>
      </c>
      <c r="K2035">
        <f t="shared" si="31"/>
        <v>511.43043782757792</v>
      </c>
    </row>
    <row r="2036" spans="1:11" x14ac:dyDescent="0.2">
      <c r="A2036" t="s">
        <v>445</v>
      </c>
      <c r="B2036" t="s">
        <v>3308</v>
      </c>
      <c r="C2036" t="s">
        <v>6731</v>
      </c>
      <c r="D2036" t="s">
        <v>6732</v>
      </c>
      <c r="E2036" t="s">
        <v>1233</v>
      </c>
      <c r="F2036" t="s">
        <v>12</v>
      </c>
      <c r="G2036" t="s">
        <v>17</v>
      </c>
      <c r="H2036">
        <f>73224*(1.01^10)</f>
        <v>80884.850511110053</v>
      </c>
      <c r="I2036">
        <f>365608*(1.01^10)</f>
        <v>403858.68602733972</v>
      </c>
      <c r="J2036" t="s">
        <v>6733</v>
      </c>
      <c r="K2036">
        <f t="shared" si="31"/>
        <v>1245.5978604704178</v>
      </c>
    </row>
    <row r="2037" spans="1:11" x14ac:dyDescent="0.2">
      <c r="A2037" t="s">
        <v>445</v>
      </c>
      <c r="B2037" t="s">
        <v>3308</v>
      </c>
      <c r="C2037" t="s">
        <v>6734</v>
      </c>
      <c r="D2037" t="s">
        <v>6735</v>
      </c>
      <c r="E2037" t="s">
        <v>766</v>
      </c>
      <c r="F2037" t="s">
        <v>12</v>
      </c>
      <c r="G2037" t="s">
        <v>12</v>
      </c>
      <c r="H2037">
        <f>39088*(1.01^10)</f>
        <v>43177.469638073169</v>
      </c>
      <c r="I2037">
        <f>195070*(1.01^10)</f>
        <v>215478.63800396372</v>
      </c>
      <c r="J2037" t="s">
        <v>6736</v>
      </c>
      <c r="K2037">
        <f t="shared" si="31"/>
        <v>820.50374837570564</v>
      </c>
    </row>
    <row r="2038" spans="1:11" x14ac:dyDescent="0.2">
      <c r="A2038" t="s">
        <v>445</v>
      </c>
      <c r="B2038" t="s">
        <v>3308</v>
      </c>
      <c r="C2038" t="s">
        <v>6737</v>
      </c>
      <c r="D2038" t="s">
        <v>6738</v>
      </c>
      <c r="E2038" t="s">
        <v>537</v>
      </c>
      <c r="F2038" t="s">
        <v>24</v>
      </c>
      <c r="G2038" t="s">
        <v>12</v>
      </c>
      <c r="H2038">
        <f>22976*(1.01^10)</f>
        <v>25379.79795344784</v>
      </c>
      <c r="I2038">
        <f>102425*(1.01^10)</f>
        <v>113140.92119524264</v>
      </c>
      <c r="J2038" t="s">
        <v>6739</v>
      </c>
      <c r="K2038">
        <f t="shared" si="31"/>
        <v>716.45222680268512</v>
      </c>
    </row>
    <row r="2039" spans="1:11" x14ac:dyDescent="0.2">
      <c r="A2039" t="s">
        <v>445</v>
      </c>
      <c r="B2039" t="s">
        <v>3308</v>
      </c>
      <c r="C2039" t="s">
        <v>6740</v>
      </c>
      <c r="D2039" t="s">
        <v>6741</v>
      </c>
      <c r="E2039" t="s">
        <v>1195</v>
      </c>
      <c r="F2039" t="s">
        <v>24</v>
      </c>
      <c r="G2039" t="s">
        <v>24</v>
      </c>
      <c r="H2039">
        <f>26548*(1.01^10)</f>
        <v>29325.508185416664</v>
      </c>
      <c r="I2039">
        <f>129853*(1.01^10)</f>
        <v>143438.49685102116</v>
      </c>
      <c r="J2039" t="s">
        <v>6742</v>
      </c>
      <c r="K2039">
        <f t="shared" si="31"/>
        <v>608.73105873522195</v>
      </c>
    </row>
    <row r="2040" spans="1:11" x14ac:dyDescent="0.2">
      <c r="A2040" t="s">
        <v>445</v>
      </c>
      <c r="B2040" t="s">
        <v>3308</v>
      </c>
      <c r="C2040" t="s">
        <v>6743</v>
      </c>
      <c r="D2040" t="s">
        <v>6744</v>
      </c>
      <c r="E2040" t="s">
        <v>274</v>
      </c>
      <c r="F2040" t="s">
        <v>24</v>
      </c>
      <c r="G2040" t="s">
        <v>24</v>
      </c>
      <c r="H2040">
        <f>4709*(1.01^10)</f>
        <v>5201.6655885613627</v>
      </c>
      <c r="I2040">
        <f>21538*(1.01^10)</f>
        <v>23791.351337106527</v>
      </c>
      <c r="J2040" t="s">
        <v>6745</v>
      </c>
      <c r="K2040">
        <f t="shared" si="31"/>
        <v>1011.8144489012824</v>
      </c>
    </row>
    <row r="2041" spans="1:11" x14ac:dyDescent="0.2">
      <c r="A2041" t="s">
        <v>445</v>
      </c>
      <c r="B2041" t="s">
        <v>565</v>
      </c>
      <c r="C2041" t="s">
        <v>6746</v>
      </c>
      <c r="D2041" t="s">
        <v>6747</v>
      </c>
      <c r="E2041" t="s">
        <v>347</v>
      </c>
      <c r="F2041" t="s">
        <v>92</v>
      </c>
      <c r="G2041" t="s">
        <v>11</v>
      </c>
      <c r="H2041">
        <f>46453*(1.01^10)</f>
        <v>51313.011591726696</v>
      </c>
      <c r="I2041">
        <f>242718*(1.01^10)</f>
        <v>268111.6730355568</v>
      </c>
      <c r="J2041" t="s">
        <v>6748</v>
      </c>
      <c r="K2041">
        <f t="shared" si="31"/>
        <v>532.7787061443322</v>
      </c>
    </row>
    <row r="2042" spans="1:11" x14ac:dyDescent="0.2">
      <c r="A2042" t="s">
        <v>445</v>
      </c>
      <c r="B2042" t="s">
        <v>565</v>
      </c>
      <c r="C2042" t="s">
        <v>6749</v>
      </c>
      <c r="D2042" t="s">
        <v>6750</v>
      </c>
      <c r="E2042" t="s">
        <v>1223</v>
      </c>
      <c r="F2042" t="s">
        <v>796</v>
      </c>
      <c r="G2042" t="s">
        <v>12</v>
      </c>
      <c r="H2042">
        <f>22455*(1.01^10)</f>
        <v>24804.289826108601</v>
      </c>
      <c r="I2042">
        <f>123469*(1.01^10)</f>
        <v>136386.58920239605</v>
      </c>
      <c r="J2042" t="s">
        <v>6751</v>
      </c>
      <c r="K2042">
        <f t="shared" si="31"/>
        <v>575.10000036306531</v>
      </c>
    </row>
    <row r="2043" spans="1:11" x14ac:dyDescent="0.2">
      <c r="A2043" t="s">
        <v>445</v>
      </c>
      <c r="B2043" t="s">
        <v>565</v>
      </c>
      <c r="C2043" t="s">
        <v>6752</v>
      </c>
      <c r="D2043" t="s">
        <v>6753</v>
      </c>
      <c r="E2043" t="s">
        <v>977</v>
      </c>
      <c r="F2043" t="s">
        <v>17</v>
      </c>
      <c r="G2043" t="s">
        <v>12</v>
      </c>
      <c r="H2043">
        <f>46105*(1.01^10)</f>
        <v>50928.603092083598</v>
      </c>
      <c r="I2043">
        <f>253582*(1.01^10)</f>
        <v>280112.28780602413</v>
      </c>
      <c r="J2043" t="s">
        <v>6754</v>
      </c>
      <c r="K2043">
        <f t="shared" si="31"/>
        <v>1225.3017417605793</v>
      </c>
    </row>
    <row r="2044" spans="1:11" x14ac:dyDescent="0.2">
      <c r="A2044" t="s">
        <v>445</v>
      </c>
      <c r="B2044" t="s">
        <v>565</v>
      </c>
      <c r="C2044" t="s">
        <v>6755</v>
      </c>
      <c r="D2044" t="s">
        <v>6756</v>
      </c>
      <c r="E2044" t="s">
        <v>2410</v>
      </c>
      <c r="F2044" t="s">
        <v>92</v>
      </c>
      <c r="G2044" t="s">
        <v>12</v>
      </c>
      <c r="H2044">
        <f>41179*(1.01^10)</f>
        <v>45487.234502307998</v>
      </c>
      <c r="I2044">
        <f>200441*(1.01^10)</f>
        <v>221411.56343954729</v>
      </c>
      <c r="J2044" t="s">
        <v>6757</v>
      </c>
      <c r="K2044">
        <f t="shared" si="31"/>
        <v>560.06724190159434</v>
      </c>
    </row>
    <row r="2045" spans="1:11" x14ac:dyDescent="0.2">
      <c r="A2045" t="s">
        <v>445</v>
      </c>
      <c r="B2045" t="s">
        <v>565</v>
      </c>
      <c r="C2045" t="s">
        <v>6758</v>
      </c>
      <c r="D2045" t="s">
        <v>6759</v>
      </c>
      <c r="E2045" t="s">
        <v>137</v>
      </c>
      <c r="F2045" t="s">
        <v>24</v>
      </c>
      <c r="G2045" t="s">
        <v>24</v>
      </c>
      <c r="H2045">
        <f>28410*(1.01^10)</f>
        <v>31382.314582932326</v>
      </c>
      <c r="I2045">
        <f>137213*(1.01^10)</f>
        <v>151568.51569404764</v>
      </c>
      <c r="J2045" t="s">
        <v>6760</v>
      </c>
      <c r="K2045">
        <f t="shared" si="31"/>
        <v>811.92767987107129</v>
      </c>
    </row>
    <row r="2046" spans="1:11" x14ac:dyDescent="0.2">
      <c r="A2046" t="s">
        <v>445</v>
      </c>
      <c r="B2046" t="s">
        <v>63</v>
      </c>
      <c r="C2046" t="s">
        <v>6761</v>
      </c>
      <c r="D2046" t="s">
        <v>6762</v>
      </c>
      <c r="E2046" t="s">
        <v>144</v>
      </c>
      <c r="F2046" t="s">
        <v>445</v>
      </c>
      <c r="G2046" t="s">
        <v>24</v>
      </c>
      <c r="H2046">
        <f>41415*(1.01^10)</f>
        <v>45747.925323905045</v>
      </c>
      <c r="I2046">
        <f>197470*(1.01^10)</f>
        <v>218129.7311049506</v>
      </c>
      <c r="J2046" t="s">
        <v>6763</v>
      </c>
      <c r="K2046">
        <f t="shared" si="31"/>
        <v>384.53299216873182</v>
      </c>
    </row>
    <row r="2047" spans="1:11" x14ac:dyDescent="0.2">
      <c r="A2047" t="s">
        <v>445</v>
      </c>
      <c r="B2047" t="s">
        <v>63</v>
      </c>
      <c r="C2047" t="s">
        <v>6764</v>
      </c>
      <c r="D2047" t="s">
        <v>6765</v>
      </c>
      <c r="E2047" t="s">
        <v>418</v>
      </c>
      <c r="F2047" t="s">
        <v>44</v>
      </c>
      <c r="G2047" t="s">
        <v>12</v>
      </c>
      <c r="H2047">
        <f>66675*(1.01^10)</f>
        <v>73650.680211792074</v>
      </c>
      <c r="I2047">
        <f>330575*(1.01^10)</f>
        <v>365160.459107809</v>
      </c>
      <c r="J2047" t="s">
        <v>6766</v>
      </c>
      <c r="K2047">
        <f t="shared" si="31"/>
        <v>1046.4280249794265</v>
      </c>
    </row>
    <row r="2048" spans="1:11" x14ac:dyDescent="0.2">
      <c r="A2048" t="s">
        <v>445</v>
      </c>
      <c r="B2048" t="s">
        <v>63</v>
      </c>
      <c r="C2048" t="s">
        <v>6767</v>
      </c>
      <c r="D2048" t="s">
        <v>6768</v>
      </c>
      <c r="E2048" t="s">
        <v>67</v>
      </c>
      <c r="F2048" t="s">
        <v>24</v>
      </c>
      <c r="G2048" t="s">
        <v>24</v>
      </c>
      <c r="H2048">
        <f>43717*(1.01^10)</f>
        <v>48290.765456601635</v>
      </c>
      <c r="I2048">
        <f>228206*(1.01^10)</f>
        <v>252081.3967515894</v>
      </c>
      <c r="J2048" t="s">
        <v>6769</v>
      </c>
      <c r="K2048">
        <f t="shared" si="31"/>
        <v>852.17344557619163</v>
      </c>
    </row>
    <row r="2049" spans="1:11" x14ac:dyDescent="0.2">
      <c r="A2049" t="s">
        <v>445</v>
      </c>
      <c r="B2049" t="s">
        <v>63</v>
      </c>
      <c r="C2049" t="s">
        <v>6770</v>
      </c>
      <c r="D2049" t="s">
        <v>6771</v>
      </c>
      <c r="E2049" t="s">
        <v>368</v>
      </c>
      <c r="F2049" t="s">
        <v>24</v>
      </c>
      <c r="G2049" t="s">
        <v>12</v>
      </c>
      <c r="H2049">
        <f>62224*(1.01^10)</f>
        <v>68734.007131586797</v>
      </c>
      <c r="I2049">
        <f>330491*(1.01^10)</f>
        <v>365067.67084927449</v>
      </c>
      <c r="J2049" t="s">
        <v>6772</v>
      </c>
      <c r="K2049">
        <f t="shared" si="31"/>
        <v>1310.9882595928909</v>
      </c>
    </row>
    <row r="2050" spans="1:11" x14ac:dyDescent="0.2">
      <c r="A2050" t="s">
        <v>445</v>
      </c>
      <c r="B2050" t="s">
        <v>63</v>
      </c>
      <c r="C2050" t="s">
        <v>6773</v>
      </c>
      <c r="D2050" t="s">
        <v>6774</v>
      </c>
      <c r="E2050" t="s">
        <v>540</v>
      </c>
      <c r="F2050" t="s">
        <v>5</v>
      </c>
      <c r="G2050" t="s">
        <v>5</v>
      </c>
      <c r="H2050">
        <f>86872*(1.01^10)</f>
        <v>95960.733278722182</v>
      </c>
      <c r="I2050">
        <f>406840*(1.01^10)</f>
        <v>449404.46550229454</v>
      </c>
      <c r="J2050" t="s">
        <v>6775</v>
      </c>
      <c r="K2050">
        <f t="shared" si="31"/>
        <v>1239.777958883062</v>
      </c>
    </row>
    <row r="2051" spans="1:11" x14ac:dyDescent="0.2">
      <c r="A2051" t="s">
        <v>445</v>
      </c>
      <c r="B2051" t="s">
        <v>63</v>
      </c>
      <c r="C2051" t="s">
        <v>6776</v>
      </c>
      <c r="D2051" t="s">
        <v>6777</v>
      </c>
      <c r="E2051" t="s">
        <v>1010</v>
      </c>
      <c r="F2051" t="s">
        <v>17</v>
      </c>
      <c r="G2051" t="s">
        <v>12</v>
      </c>
      <c r="H2051">
        <f>35825*(1.01^10)</f>
        <v>39573.087642856408</v>
      </c>
      <c r="I2051">
        <f>175125*(1.01^10)</f>
        <v>193446.94971263723</v>
      </c>
      <c r="J2051" t="s">
        <v>6778</v>
      </c>
      <c r="K2051">
        <f t="shared" ref="K2051:K2114" si="32">I2051/J2051</f>
        <v>583.18881754833637</v>
      </c>
    </row>
    <row r="2052" spans="1:11" x14ac:dyDescent="0.2">
      <c r="A2052" t="s">
        <v>445</v>
      </c>
      <c r="B2052" t="s">
        <v>63</v>
      </c>
      <c r="C2052" t="s">
        <v>6779</v>
      </c>
      <c r="D2052" t="s">
        <v>6780</v>
      </c>
      <c r="E2052" t="s">
        <v>58</v>
      </c>
      <c r="F2052" t="s">
        <v>744</v>
      </c>
      <c r="G2052" t="s">
        <v>12</v>
      </c>
      <c r="H2052">
        <f>45824*(1.01^10)</f>
        <v>50618.204274843047</v>
      </c>
      <c r="I2052">
        <f>223843*(1.01^10)</f>
        <v>247261.93041842029</v>
      </c>
      <c r="J2052" t="s">
        <v>6781</v>
      </c>
      <c r="K2052">
        <f t="shared" si="32"/>
        <v>676.49083550933619</v>
      </c>
    </row>
    <row r="2053" spans="1:11" x14ac:dyDescent="0.2">
      <c r="A2053" t="s">
        <v>445</v>
      </c>
      <c r="B2053" t="s">
        <v>63</v>
      </c>
      <c r="C2053" t="s">
        <v>6782</v>
      </c>
      <c r="D2053" t="s">
        <v>6783</v>
      </c>
      <c r="E2053" t="s">
        <v>28</v>
      </c>
      <c r="F2053" t="s">
        <v>24</v>
      </c>
      <c r="G2053" t="s">
        <v>5</v>
      </c>
      <c r="H2053">
        <f>42784*(1.01^10)</f>
        <v>47260.153013592986</v>
      </c>
      <c r="I2053">
        <f>228530*(1.01^10)</f>
        <v>252439.29432022263</v>
      </c>
      <c r="J2053" t="s">
        <v>6784</v>
      </c>
      <c r="K2053">
        <f t="shared" si="32"/>
        <v>977.65446757443578</v>
      </c>
    </row>
    <row r="2054" spans="1:11" x14ac:dyDescent="0.2">
      <c r="A2054" t="s">
        <v>445</v>
      </c>
      <c r="B2054" t="s">
        <v>63</v>
      </c>
      <c r="C2054" t="s">
        <v>6785</v>
      </c>
      <c r="D2054" t="s">
        <v>6786</v>
      </c>
      <c r="E2054" t="s">
        <v>503</v>
      </c>
      <c r="F2054" t="s">
        <v>24</v>
      </c>
      <c r="G2054" t="s">
        <v>17</v>
      </c>
      <c r="H2054">
        <f>55467*(1.01^10)</f>
        <v>61270.075430183293</v>
      </c>
      <c r="I2054">
        <f>303767*(1.01^10)</f>
        <v>335547.74916978541</v>
      </c>
      <c r="J2054" t="s">
        <v>6787</v>
      </c>
      <c r="K2054">
        <f t="shared" si="32"/>
        <v>1081.7928485366838</v>
      </c>
    </row>
    <row r="2055" spans="1:11" x14ac:dyDescent="0.2">
      <c r="A2055" t="s">
        <v>445</v>
      </c>
      <c r="B2055" t="s">
        <v>63</v>
      </c>
      <c r="C2055" t="s">
        <v>6788</v>
      </c>
      <c r="D2055" t="s">
        <v>6789</v>
      </c>
      <c r="E2055" t="s">
        <v>971</v>
      </c>
      <c r="F2055" t="s">
        <v>17</v>
      </c>
      <c r="G2055" t="s">
        <v>11</v>
      </c>
      <c r="H2055">
        <f>78537*(1.01^10)</f>
        <v>86753.707863419782</v>
      </c>
      <c r="I2055">
        <f>398921*(1.01^10)</f>
        <v>440656.96289116319</v>
      </c>
      <c r="J2055" t="s">
        <v>6790</v>
      </c>
      <c r="K2055">
        <f t="shared" si="32"/>
        <v>515.73929532189766</v>
      </c>
    </row>
    <row r="2056" spans="1:11" x14ac:dyDescent="0.2">
      <c r="A2056" t="s">
        <v>445</v>
      </c>
      <c r="B2056" t="s">
        <v>1934</v>
      </c>
      <c r="C2056" t="s">
        <v>6791</v>
      </c>
      <c r="D2056" t="s">
        <v>6792</v>
      </c>
      <c r="E2056" t="s">
        <v>946</v>
      </c>
      <c r="F2056" t="s">
        <v>158</v>
      </c>
      <c r="G2056" t="s">
        <v>12</v>
      </c>
      <c r="H2056">
        <f>93308*(1.01^10)</f>
        <v>103070.0812778687</v>
      </c>
      <c r="I2056">
        <f>470018*(1.01^10)</f>
        <v>519192.28214152361</v>
      </c>
      <c r="J2056" t="s">
        <v>6793</v>
      </c>
      <c r="K2056">
        <f t="shared" si="32"/>
        <v>435.66279721484449</v>
      </c>
    </row>
    <row r="2057" spans="1:11" x14ac:dyDescent="0.2">
      <c r="A2057" t="s">
        <v>445</v>
      </c>
      <c r="B2057" t="s">
        <v>1934</v>
      </c>
      <c r="C2057" t="s">
        <v>6794</v>
      </c>
      <c r="D2057" t="s">
        <v>6795</v>
      </c>
      <c r="E2057" t="s">
        <v>731</v>
      </c>
      <c r="F2057" t="s">
        <v>11</v>
      </c>
      <c r="G2057" t="s">
        <v>12</v>
      </c>
      <c r="H2057">
        <f>69674*(1.01^10)</f>
        <v>76963.441965900274</v>
      </c>
      <c r="I2057">
        <f>343749*(1.01^10)</f>
        <v>379712.75098797621</v>
      </c>
      <c r="J2057" t="s">
        <v>6796</v>
      </c>
      <c r="K2057">
        <f t="shared" si="32"/>
        <v>379.58582438440857</v>
      </c>
    </row>
    <row r="2058" spans="1:11" x14ac:dyDescent="0.2">
      <c r="A2058" t="s">
        <v>445</v>
      </c>
      <c r="B2058" t="s">
        <v>1934</v>
      </c>
      <c r="C2058" t="s">
        <v>6797</v>
      </c>
      <c r="D2058" t="s">
        <v>6798</v>
      </c>
      <c r="E2058" t="s">
        <v>1303</v>
      </c>
      <c r="F2058" t="s">
        <v>445</v>
      </c>
      <c r="G2058" t="s">
        <v>5</v>
      </c>
      <c r="H2058">
        <f>61635*(1.01^10)</f>
        <v>68083.384699719609</v>
      </c>
      <c r="I2058">
        <f>282032*(1.01^10)</f>
        <v>311538.78727397288</v>
      </c>
      <c r="J2058" t="s">
        <v>6799</v>
      </c>
      <c r="K2058">
        <f t="shared" si="32"/>
        <v>569.8595060246987</v>
      </c>
    </row>
    <row r="2059" spans="1:11" x14ac:dyDescent="0.2">
      <c r="A2059" t="s">
        <v>445</v>
      </c>
      <c r="B2059" t="s">
        <v>1934</v>
      </c>
      <c r="C2059" t="s">
        <v>6800</v>
      </c>
      <c r="D2059" t="s">
        <v>6801</v>
      </c>
      <c r="E2059" t="s">
        <v>2553</v>
      </c>
      <c r="F2059" t="s">
        <v>744</v>
      </c>
      <c r="G2059" t="s">
        <v>24</v>
      </c>
      <c r="H2059">
        <f>44900*(1.01^10)</f>
        <v>49597.533430963093</v>
      </c>
      <c r="I2059">
        <f>215820*(1.01^10)</f>
        <v>238399.5471062462</v>
      </c>
      <c r="J2059" t="s">
        <v>6802</v>
      </c>
      <c r="K2059">
        <f t="shared" si="32"/>
        <v>355.70826027977836</v>
      </c>
    </row>
    <row r="2060" spans="1:11" x14ac:dyDescent="0.2">
      <c r="A2060" t="s">
        <v>445</v>
      </c>
      <c r="B2060" t="s">
        <v>1934</v>
      </c>
      <c r="C2060" t="s">
        <v>6803</v>
      </c>
      <c r="D2060" t="s">
        <v>6804</v>
      </c>
      <c r="E2060" t="s">
        <v>2421</v>
      </c>
      <c r="F2060" t="s">
        <v>427</v>
      </c>
      <c r="G2060" t="s">
        <v>12</v>
      </c>
      <c r="H2060">
        <f>70998*(1.01^10)</f>
        <v>78425.961659944718</v>
      </c>
      <c r="I2060">
        <f>346624*(1.01^10)</f>
        <v>382888.53959853342</v>
      </c>
      <c r="J2060" t="s">
        <v>6805</v>
      </c>
      <c r="K2060">
        <f t="shared" si="32"/>
        <v>366.82733477749167</v>
      </c>
    </row>
    <row r="2061" spans="1:11" x14ac:dyDescent="0.2">
      <c r="A2061" t="s">
        <v>445</v>
      </c>
      <c r="B2061" t="s">
        <v>1934</v>
      </c>
      <c r="C2061" t="s">
        <v>6806</v>
      </c>
      <c r="D2061" t="s">
        <v>6807</v>
      </c>
      <c r="E2061" t="s">
        <v>563</v>
      </c>
      <c r="F2061" t="s">
        <v>274</v>
      </c>
      <c r="G2061" t="s">
        <v>24</v>
      </c>
      <c r="H2061">
        <f>29173*(1.01^10)</f>
        <v>32225.141264621077</v>
      </c>
      <c r="I2061">
        <f>144037*(1.01^10)</f>
        <v>159106.4570778537</v>
      </c>
      <c r="J2061" t="s">
        <v>6808</v>
      </c>
      <c r="K2061">
        <f t="shared" si="32"/>
        <v>365.16929563399856</v>
      </c>
    </row>
    <row r="2062" spans="1:11" x14ac:dyDescent="0.2">
      <c r="A2062" t="s">
        <v>445</v>
      </c>
      <c r="B2062" t="s">
        <v>1934</v>
      </c>
      <c r="C2062" t="s">
        <v>6809</v>
      </c>
      <c r="D2062" t="s">
        <v>6810</v>
      </c>
      <c r="E2062" t="s">
        <v>2216</v>
      </c>
      <c r="F2062" t="s">
        <v>12</v>
      </c>
      <c r="G2062" t="s">
        <v>12</v>
      </c>
      <c r="H2062">
        <f>23231*(1.01^10)</f>
        <v>25661.476595427699</v>
      </c>
      <c r="I2062">
        <f>121830*(1.01^10)</f>
        <v>134576.11353884707</v>
      </c>
      <c r="J2062" t="s">
        <v>6811</v>
      </c>
      <c r="K2062">
        <f t="shared" si="32"/>
        <v>426.49336990140006</v>
      </c>
    </row>
    <row r="2063" spans="1:11" x14ac:dyDescent="0.2">
      <c r="A2063" t="s">
        <v>445</v>
      </c>
      <c r="B2063" t="s">
        <v>2928</v>
      </c>
      <c r="C2063" t="s">
        <v>6812</v>
      </c>
      <c r="D2063" t="s">
        <v>4655</v>
      </c>
      <c r="E2063" t="s">
        <v>814</v>
      </c>
      <c r="F2063" t="s">
        <v>5</v>
      </c>
      <c r="G2063" t="s">
        <v>12</v>
      </c>
      <c r="H2063">
        <f>28954*(1.01^10)</f>
        <v>31983.229019156021</v>
      </c>
      <c r="I2063">
        <f>135641*(1.01^10)</f>
        <v>149832.04971290124</v>
      </c>
      <c r="J2063" t="s">
        <v>6813</v>
      </c>
      <c r="K2063">
        <f t="shared" si="32"/>
        <v>509.59347737865966</v>
      </c>
    </row>
    <row r="2064" spans="1:11" x14ac:dyDescent="0.2">
      <c r="A2064" t="s">
        <v>445</v>
      </c>
      <c r="B2064" t="s">
        <v>2928</v>
      </c>
      <c r="C2064" t="s">
        <v>6814</v>
      </c>
      <c r="D2064" t="s">
        <v>6815</v>
      </c>
      <c r="E2064" t="s">
        <v>1401</v>
      </c>
      <c r="F2064" t="s">
        <v>744</v>
      </c>
      <c r="G2064" t="s">
        <v>12</v>
      </c>
      <c r="H2064">
        <f>39485*(1.01^10)</f>
        <v>43616.004621861422</v>
      </c>
      <c r="I2064">
        <f>210165*(1.01^10)</f>
        <v>232152.90898704584</v>
      </c>
      <c r="J2064" t="s">
        <v>6816</v>
      </c>
      <c r="K2064">
        <f t="shared" si="32"/>
        <v>737.28077905299892</v>
      </c>
    </row>
    <row r="2065" spans="1:11" x14ac:dyDescent="0.2">
      <c r="A2065" t="s">
        <v>445</v>
      </c>
      <c r="B2065" t="s">
        <v>2928</v>
      </c>
      <c r="C2065" t="s">
        <v>6817</v>
      </c>
      <c r="D2065" t="s">
        <v>6818</v>
      </c>
      <c r="E2065" t="s">
        <v>784</v>
      </c>
      <c r="F2065" t="s">
        <v>6</v>
      </c>
      <c r="G2065" t="s">
        <v>24</v>
      </c>
      <c r="H2065">
        <f>27936*(1.01^10)</f>
        <v>30858.723695487417</v>
      </c>
      <c r="I2065">
        <f>148973*(1.01^10)</f>
        <v>164558.87188888341</v>
      </c>
      <c r="J2065" t="s">
        <v>6819</v>
      </c>
      <c r="K2065">
        <f t="shared" si="32"/>
        <v>644.75074416798566</v>
      </c>
    </row>
    <row r="2066" spans="1:11" x14ac:dyDescent="0.2">
      <c r="A2066" t="s">
        <v>445</v>
      </c>
      <c r="B2066" t="s">
        <v>2928</v>
      </c>
      <c r="C2066" t="s">
        <v>6820</v>
      </c>
      <c r="D2066" t="s">
        <v>6821</v>
      </c>
      <c r="E2066" t="s">
        <v>453</v>
      </c>
      <c r="F2066" t="s">
        <v>11</v>
      </c>
      <c r="G2066" t="s">
        <v>24</v>
      </c>
      <c r="H2066">
        <f>20683*(1.01^10)</f>
        <v>22846.899419879948</v>
      </c>
      <c r="I2066">
        <f>107330*(1.01^10)</f>
        <v>118559.09272038461</v>
      </c>
      <c r="J2066" t="s">
        <v>6822</v>
      </c>
      <c r="K2066">
        <f t="shared" si="32"/>
        <v>292.25846839473758</v>
      </c>
    </row>
    <row r="2067" spans="1:11" x14ac:dyDescent="0.2">
      <c r="A2067" t="s">
        <v>445</v>
      </c>
      <c r="B2067" t="s">
        <v>2928</v>
      </c>
      <c r="C2067" t="s">
        <v>6823</v>
      </c>
      <c r="D2067" t="s">
        <v>6824</v>
      </c>
      <c r="E2067" t="s">
        <v>933</v>
      </c>
      <c r="F2067" t="s">
        <v>17</v>
      </c>
      <c r="G2067" t="s">
        <v>12</v>
      </c>
      <c r="H2067">
        <f>50196*(1.01^10)</f>
        <v>55447.612207140832</v>
      </c>
      <c r="I2067">
        <f>250643*(1.01^10)</f>
        <v>276865.80337944056</v>
      </c>
      <c r="J2067" t="s">
        <v>6825</v>
      </c>
      <c r="K2067">
        <f t="shared" si="32"/>
        <v>580.33392580137354</v>
      </c>
    </row>
    <row r="2068" spans="1:11" x14ac:dyDescent="0.2">
      <c r="A2068" t="s">
        <v>445</v>
      </c>
      <c r="B2068" t="s">
        <v>2928</v>
      </c>
      <c r="C2068" t="s">
        <v>6826</v>
      </c>
      <c r="D2068" t="s">
        <v>6827</v>
      </c>
      <c r="E2068" t="s">
        <v>540</v>
      </c>
      <c r="F2068" t="s">
        <v>6</v>
      </c>
      <c r="G2068" t="s">
        <v>12</v>
      </c>
      <c r="H2068">
        <f>22922*(1.01^10)</f>
        <v>25320.148358675637</v>
      </c>
      <c r="I2068">
        <f>114295*(1.01^10)</f>
        <v>126252.78582387365</v>
      </c>
      <c r="J2068" t="s">
        <v>6828</v>
      </c>
      <c r="K2068">
        <f t="shared" si="32"/>
        <v>403.3540601349996</v>
      </c>
    </row>
    <row r="2069" spans="1:11" x14ac:dyDescent="0.2">
      <c r="A2069" t="s">
        <v>445</v>
      </c>
      <c r="B2069" t="s">
        <v>2928</v>
      </c>
      <c r="C2069" t="s">
        <v>6829</v>
      </c>
      <c r="D2069" t="s">
        <v>6830</v>
      </c>
      <c r="E2069" t="s">
        <v>626</v>
      </c>
      <c r="F2069" t="s">
        <v>158</v>
      </c>
      <c r="G2069" t="s">
        <v>24</v>
      </c>
      <c r="H2069">
        <f>14131*(1.01^10)</f>
        <v>15609.415254185735</v>
      </c>
      <c r="I2069">
        <f>75090*(1.01^10)</f>
        <v>82946.075397127366</v>
      </c>
      <c r="J2069" t="s">
        <v>6831</v>
      </c>
      <c r="K2069">
        <f t="shared" si="32"/>
        <v>382.03098653608254</v>
      </c>
    </row>
    <row r="2070" spans="1:11" x14ac:dyDescent="0.2">
      <c r="A2070" t="s">
        <v>445</v>
      </c>
      <c r="B2070" t="s">
        <v>2528</v>
      </c>
      <c r="C2070" t="s">
        <v>6832</v>
      </c>
      <c r="D2070" t="s">
        <v>6833</v>
      </c>
      <c r="E2070" t="s">
        <v>2653</v>
      </c>
      <c r="F2070" t="s">
        <v>382</v>
      </c>
      <c r="G2070" t="s">
        <v>12</v>
      </c>
      <c r="H2070">
        <f>29133*(1.01^10)</f>
        <v>32180.956379604628</v>
      </c>
      <c r="I2070">
        <f>139920*(1.01^10)</f>
        <v>154558.72778753575</v>
      </c>
      <c r="J2070" t="s">
        <v>6834</v>
      </c>
      <c r="K2070">
        <f t="shared" si="32"/>
        <v>307.1503604685617</v>
      </c>
    </row>
    <row r="2071" spans="1:11" x14ac:dyDescent="0.2">
      <c r="A2071" t="s">
        <v>445</v>
      </c>
      <c r="B2071" t="s">
        <v>2528</v>
      </c>
      <c r="C2071" t="s">
        <v>6835</v>
      </c>
      <c r="D2071" t="s">
        <v>6836</v>
      </c>
      <c r="E2071" t="s">
        <v>154</v>
      </c>
      <c r="F2071" t="s">
        <v>1340</v>
      </c>
      <c r="G2071" t="s">
        <v>12</v>
      </c>
      <c r="H2071">
        <f>42491*(1.01^10)</f>
        <v>46936.498730847503</v>
      </c>
      <c r="I2071">
        <f>234030*(1.01^10)</f>
        <v>258514.71600998426</v>
      </c>
      <c r="J2071" t="s">
        <v>6837</v>
      </c>
      <c r="K2071">
        <f t="shared" si="32"/>
        <v>272.19531230249009</v>
      </c>
    </row>
    <row r="2072" spans="1:11" x14ac:dyDescent="0.2">
      <c r="A2072" t="s">
        <v>445</v>
      </c>
      <c r="B2072" t="s">
        <v>2528</v>
      </c>
      <c r="C2072" t="s">
        <v>6838</v>
      </c>
      <c r="D2072" t="s">
        <v>6839</v>
      </c>
      <c r="E2072" t="s">
        <v>2534</v>
      </c>
      <c r="F2072" t="s">
        <v>382</v>
      </c>
      <c r="G2072" t="s">
        <v>17</v>
      </c>
      <c r="H2072">
        <f>30012*(1.01^10)</f>
        <v>33151.919227841077</v>
      </c>
      <c r="I2072">
        <f>169898*(1.01^10)</f>
        <v>187673.08986311287</v>
      </c>
      <c r="J2072" t="s">
        <v>6840</v>
      </c>
      <c r="K2072">
        <f t="shared" si="32"/>
        <v>172.29176002774196</v>
      </c>
    </row>
    <row r="2073" spans="1:11" x14ac:dyDescent="0.2">
      <c r="A2073" t="s">
        <v>445</v>
      </c>
      <c r="B2073" t="s">
        <v>2528</v>
      </c>
      <c r="C2073" t="s">
        <v>6826</v>
      </c>
      <c r="D2073" t="s">
        <v>6827</v>
      </c>
      <c r="E2073" t="s">
        <v>91</v>
      </c>
      <c r="F2073" t="s">
        <v>24</v>
      </c>
      <c r="G2073" t="s">
        <v>24</v>
      </c>
      <c r="H2073">
        <f>5733*(1.01^10)</f>
        <v>6332.7986449824366</v>
      </c>
      <c r="I2073">
        <f>29575*(1.01^10)</f>
        <v>32669.199359036382</v>
      </c>
      <c r="J2073" t="s">
        <v>6841</v>
      </c>
      <c r="K2073">
        <f t="shared" si="32"/>
        <v>373.67586228782022</v>
      </c>
    </row>
    <row r="2074" spans="1:11" x14ac:dyDescent="0.2">
      <c r="A2074" t="s">
        <v>445</v>
      </c>
      <c r="B2074" t="s">
        <v>2528</v>
      </c>
      <c r="C2074" t="s">
        <v>6829</v>
      </c>
      <c r="D2074" t="s">
        <v>6830</v>
      </c>
      <c r="E2074" t="s">
        <v>1656</v>
      </c>
      <c r="F2074" t="s">
        <v>152</v>
      </c>
      <c r="G2074" t="s">
        <v>24</v>
      </c>
      <c r="H2074">
        <f>2827*(1.01^10)</f>
        <v>3122.7667485374759</v>
      </c>
      <c r="I2074">
        <f>13950*(1.01^10)</f>
        <v>15409.478649486306</v>
      </c>
      <c r="J2074" t="s">
        <v>6842</v>
      </c>
      <c r="K2074">
        <f t="shared" si="32"/>
        <v>65.703713094607011</v>
      </c>
    </row>
    <row r="2075" spans="1:11" x14ac:dyDescent="0.2">
      <c r="A2075" t="s">
        <v>445</v>
      </c>
      <c r="B2075" t="s">
        <v>2528</v>
      </c>
      <c r="C2075" t="s">
        <v>6843</v>
      </c>
      <c r="D2075" t="s">
        <v>6844</v>
      </c>
      <c r="E2075" t="s">
        <v>809</v>
      </c>
      <c r="F2075" t="s">
        <v>17</v>
      </c>
      <c r="G2075" t="s">
        <v>24</v>
      </c>
      <c r="H2075">
        <f>19673*(1.01^10)</f>
        <v>21731.231073214632</v>
      </c>
      <c r="I2075">
        <f>98760*(1.01^10)</f>
        <v>109092.48110561058</v>
      </c>
      <c r="J2075" t="s">
        <v>6845</v>
      </c>
      <c r="K2075">
        <f t="shared" si="32"/>
        <v>292.60902730250172</v>
      </c>
    </row>
    <row r="2076" spans="1:11" x14ac:dyDescent="0.2">
      <c r="A2076" t="s">
        <v>445</v>
      </c>
      <c r="B2076" t="s">
        <v>361</v>
      </c>
      <c r="C2076" t="s">
        <v>6846</v>
      </c>
      <c r="D2076" t="s">
        <v>6847</v>
      </c>
      <c r="E2076" t="s">
        <v>982</v>
      </c>
      <c r="F2076" t="s">
        <v>11</v>
      </c>
      <c r="G2076" t="s">
        <v>12</v>
      </c>
      <c r="H2076">
        <f>19317*(1.01^10)</f>
        <v>21337.985596568244</v>
      </c>
      <c r="I2076">
        <f>102434*(1.01^10)</f>
        <v>113150.86279437135</v>
      </c>
      <c r="J2076" t="s">
        <v>6848</v>
      </c>
      <c r="K2076">
        <f t="shared" si="32"/>
        <v>143.67185901979215</v>
      </c>
    </row>
    <row r="2077" spans="1:11" x14ac:dyDescent="0.2">
      <c r="A2077" t="s">
        <v>445</v>
      </c>
      <c r="B2077" t="s">
        <v>361</v>
      </c>
      <c r="C2077" t="s">
        <v>6849</v>
      </c>
      <c r="D2077" t="s">
        <v>6850</v>
      </c>
      <c r="E2077" t="s">
        <v>1332</v>
      </c>
      <c r="F2077" t="s">
        <v>427</v>
      </c>
      <c r="G2077" t="s">
        <v>17</v>
      </c>
      <c r="H2077">
        <f>81443*(1.01^10)</f>
        <v>89963.739759864751</v>
      </c>
      <c r="I2077">
        <f>416789*(1.01^10)</f>
        <v>460394.3510280106</v>
      </c>
      <c r="J2077" t="s">
        <v>6851</v>
      </c>
      <c r="K2077">
        <f t="shared" si="32"/>
        <v>474.43272469539448</v>
      </c>
    </row>
    <row r="2078" spans="1:11" x14ac:dyDescent="0.2">
      <c r="A2078" t="s">
        <v>445</v>
      </c>
      <c r="B2078" t="s">
        <v>361</v>
      </c>
      <c r="C2078" t="s">
        <v>6852</v>
      </c>
      <c r="D2078" t="s">
        <v>6853</v>
      </c>
      <c r="E2078" t="s">
        <v>636</v>
      </c>
      <c r="F2078" t="s">
        <v>11</v>
      </c>
      <c r="G2078" t="s">
        <v>5</v>
      </c>
      <c r="H2078">
        <f>91211*(1.01^10)</f>
        <v>100753.6886808814</v>
      </c>
      <c r="I2078">
        <f>438031*(1.01^10)</f>
        <v>483858.73421599541</v>
      </c>
      <c r="J2078" t="s">
        <v>6854</v>
      </c>
      <c r="K2078">
        <f t="shared" si="32"/>
        <v>567.41389378501094</v>
      </c>
    </row>
    <row r="2079" spans="1:11" x14ac:dyDescent="0.2">
      <c r="A2079" t="s">
        <v>445</v>
      </c>
      <c r="B2079" t="s">
        <v>361</v>
      </c>
      <c r="C2079" t="s">
        <v>6855</v>
      </c>
      <c r="D2079" t="s">
        <v>6856</v>
      </c>
      <c r="E2079" t="s">
        <v>6857</v>
      </c>
      <c r="F2079" t="s">
        <v>24</v>
      </c>
      <c r="G2079" t="s">
        <v>158</v>
      </c>
      <c r="H2079">
        <f>76627*(1.01^10)</f>
        <v>84643.879603884387</v>
      </c>
      <c r="I2079">
        <f>370675*(1.01^10)</f>
        <v>409455.8063367983</v>
      </c>
      <c r="J2079" t="s">
        <v>6858</v>
      </c>
      <c r="K2079">
        <f t="shared" si="32"/>
        <v>347.20790016059402</v>
      </c>
    </row>
    <row r="2080" spans="1:11" x14ac:dyDescent="0.2">
      <c r="A2080" t="s">
        <v>445</v>
      </c>
      <c r="B2080" t="s">
        <v>2130</v>
      </c>
      <c r="C2080" t="s">
        <v>6859</v>
      </c>
      <c r="D2080" t="s">
        <v>6860</v>
      </c>
      <c r="E2080" t="s">
        <v>584</v>
      </c>
      <c r="F2080" t="s">
        <v>152</v>
      </c>
      <c r="G2080" t="s">
        <v>12</v>
      </c>
      <c r="H2080">
        <f>32833*(1.01^10)</f>
        <v>36268.058243626088</v>
      </c>
      <c r="I2080">
        <f>159580*(1.01^10)</f>
        <v>176275.59877312006</v>
      </c>
      <c r="J2080" t="s">
        <v>6861</v>
      </c>
      <c r="K2080">
        <f t="shared" si="32"/>
        <v>246.05578542363824</v>
      </c>
    </row>
    <row r="2081" spans="1:11" x14ac:dyDescent="0.2">
      <c r="A2081" t="s">
        <v>445</v>
      </c>
      <c r="B2081" t="s">
        <v>2130</v>
      </c>
      <c r="C2081" t="s">
        <v>6862</v>
      </c>
      <c r="D2081" t="s">
        <v>6863</v>
      </c>
      <c r="E2081" t="s">
        <v>611</v>
      </c>
      <c r="F2081" t="s">
        <v>11</v>
      </c>
      <c r="G2081" t="s">
        <v>17</v>
      </c>
      <c r="H2081">
        <f>57758*(1.01^10)</f>
        <v>63800.764719500366</v>
      </c>
      <c r="I2081">
        <f>270230*(1.01^10)</f>
        <v>298502.03694986989</v>
      </c>
      <c r="J2081" t="s">
        <v>6864</v>
      </c>
      <c r="K2081">
        <f t="shared" si="32"/>
        <v>789.51707270810459</v>
      </c>
    </row>
    <row r="2082" spans="1:11" x14ac:dyDescent="0.2">
      <c r="A2082" t="s">
        <v>445</v>
      </c>
      <c r="B2082" t="s">
        <v>2130</v>
      </c>
      <c r="C2082" t="s">
        <v>6865</v>
      </c>
      <c r="D2082" t="s">
        <v>6866</v>
      </c>
      <c r="E2082" t="s">
        <v>2283</v>
      </c>
      <c r="F2082" t="s">
        <v>11</v>
      </c>
      <c r="G2082" t="s">
        <v>12</v>
      </c>
      <c r="H2082">
        <f>32442*(1.01^10)</f>
        <v>35836.150992590301</v>
      </c>
      <c r="I2082">
        <f>159585*(1.01^10)</f>
        <v>176281.12188374711</v>
      </c>
      <c r="J2082" t="s">
        <v>6867</v>
      </c>
      <c r="K2082">
        <f t="shared" si="32"/>
        <v>267.54711662977343</v>
      </c>
    </row>
    <row r="2083" spans="1:11" x14ac:dyDescent="0.2">
      <c r="A2083" t="s">
        <v>445</v>
      </c>
      <c r="B2083" t="s">
        <v>2130</v>
      </c>
      <c r="C2083" t="s">
        <v>6868</v>
      </c>
      <c r="D2083" t="s">
        <v>6869</v>
      </c>
      <c r="E2083" t="s">
        <v>301</v>
      </c>
      <c r="F2083" t="s">
        <v>12</v>
      </c>
      <c r="G2083" t="s">
        <v>17</v>
      </c>
      <c r="H2083">
        <f>46801*(1.01^10)</f>
        <v>51697.420091369793</v>
      </c>
      <c r="I2083">
        <f>220478*(1.01^10)</f>
        <v>243544.8769664116</v>
      </c>
      <c r="J2083" t="s">
        <v>6870</v>
      </c>
      <c r="K2083">
        <f t="shared" si="32"/>
        <v>682.97030000932375</v>
      </c>
    </row>
    <row r="2084" spans="1:11" x14ac:dyDescent="0.2">
      <c r="A2084" t="s">
        <v>445</v>
      </c>
      <c r="B2084" t="s">
        <v>2130</v>
      </c>
      <c r="C2084" t="s">
        <v>6871</v>
      </c>
      <c r="D2084" t="s">
        <v>6872</v>
      </c>
      <c r="E2084" t="s">
        <v>1094</v>
      </c>
      <c r="F2084" t="s">
        <v>382</v>
      </c>
      <c r="G2084" t="s">
        <v>12</v>
      </c>
      <c r="H2084">
        <f>35160*(1.01^10)</f>
        <v>38838.513929457957</v>
      </c>
      <c r="I2084">
        <f>169759*(1.01^10)</f>
        <v>187519.54738768071</v>
      </c>
      <c r="J2084" t="s">
        <v>6873</v>
      </c>
      <c r="K2084">
        <f t="shared" si="32"/>
        <v>453.66678984647473</v>
      </c>
    </row>
    <row r="2085" spans="1:11" x14ac:dyDescent="0.2">
      <c r="A2085" t="s">
        <v>445</v>
      </c>
      <c r="B2085" t="s">
        <v>2130</v>
      </c>
      <c r="C2085" t="s">
        <v>6874</v>
      </c>
      <c r="D2085" t="s">
        <v>6875</v>
      </c>
      <c r="E2085" t="s">
        <v>301</v>
      </c>
      <c r="F2085" t="s">
        <v>12</v>
      </c>
      <c r="G2085" t="s">
        <v>24</v>
      </c>
      <c r="H2085">
        <f>32308*(1.01^10)</f>
        <v>35688.131627785202</v>
      </c>
      <c r="I2085">
        <f>159295*(1.01^10)</f>
        <v>175960.78146737785</v>
      </c>
      <c r="J2085" t="s">
        <v>6876</v>
      </c>
      <c r="K2085">
        <f t="shared" si="32"/>
        <v>449.09552054545975</v>
      </c>
    </row>
    <row r="2086" spans="1:11" x14ac:dyDescent="0.2">
      <c r="A2086" t="s">
        <v>445</v>
      </c>
      <c r="B2086" t="s">
        <v>2130</v>
      </c>
      <c r="C2086" t="s">
        <v>6877</v>
      </c>
      <c r="D2086" t="s">
        <v>6878</v>
      </c>
      <c r="E2086" t="s">
        <v>971</v>
      </c>
      <c r="F2086" t="s">
        <v>17</v>
      </c>
      <c r="G2086" t="s">
        <v>17</v>
      </c>
      <c r="H2086">
        <f>39565*(1.01^10)</f>
        <v>43704.374391894315</v>
      </c>
      <c r="I2086">
        <f>187408*(1.01^10)</f>
        <v>207015.02327906305</v>
      </c>
      <c r="J2086" t="s">
        <v>6879</v>
      </c>
      <c r="K2086">
        <f t="shared" si="32"/>
        <v>444.3485713512037</v>
      </c>
    </row>
    <row r="2087" spans="1:11" x14ac:dyDescent="0.2">
      <c r="A2087" t="s">
        <v>445</v>
      </c>
      <c r="B2087" t="s">
        <v>1128</v>
      </c>
      <c r="C2087" t="s">
        <v>6880</v>
      </c>
      <c r="D2087" t="s">
        <v>6881</v>
      </c>
      <c r="E2087" t="s">
        <v>1140</v>
      </c>
      <c r="F2087" t="s">
        <v>92</v>
      </c>
      <c r="G2087" t="s">
        <v>24</v>
      </c>
      <c r="H2087">
        <f>32257*(1.01^10)</f>
        <v>35631.795899389232</v>
      </c>
      <c r="I2087">
        <f>152166*(1.01^10)</f>
        <v>168085.93033532138</v>
      </c>
      <c r="J2087" t="s">
        <v>6882</v>
      </c>
      <c r="K2087">
        <f t="shared" si="32"/>
        <v>348.21334487366937</v>
      </c>
    </row>
    <row r="2088" spans="1:11" x14ac:dyDescent="0.2">
      <c r="A2088" t="s">
        <v>445</v>
      </c>
      <c r="B2088" t="s">
        <v>1128</v>
      </c>
      <c r="C2088" t="s">
        <v>6883</v>
      </c>
      <c r="D2088" t="s">
        <v>6884</v>
      </c>
      <c r="E2088" t="s">
        <v>1049</v>
      </c>
      <c r="F2088" t="s">
        <v>11</v>
      </c>
      <c r="G2088" t="s">
        <v>12</v>
      </c>
      <c r="H2088">
        <f>43948*(1.01^10)</f>
        <v>48545.933167571624</v>
      </c>
      <c r="I2088">
        <f>198642*(1.01^10)</f>
        <v>219424.34823593253</v>
      </c>
      <c r="J2088" t="s">
        <v>6885</v>
      </c>
      <c r="K2088">
        <f t="shared" si="32"/>
        <v>560.99929872153393</v>
      </c>
    </row>
    <row r="2089" spans="1:11" x14ac:dyDescent="0.2">
      <c r="A2089" t="s">
        <v>445</v>
      </c>
      <c r="B2089" t="s">
        <v>1128</v>
      </c>
      <c r="C2089" t="s">
        <v>6886</v>
      </c>
      <c r="D2089" t="s">
        <v>6887</v>
      </c>
      <c r="E2089" t="s">
        <v>626</v>
      </c>
      <c r="F2089" t="s">
        <v>17</v>
      </c>
      <c r="G2089" t="s">
        <v>12</v>
      </c>
      <c r="H2089">
        <f>31418*(1.01^10)</f>
        <v>34705.017936169228</v>
      </c>
      <c r="I2089">
        <f>144009*(1.01^10)</f>
        <v>159075.52765834218</v>
      </c>
      <c r="J2089" t="s">
        <v>6888</v>
      </c>
      <c r="K2089">
        <f t="shared" si="32"/>
        <v>501.0730109819321</v>
      </c>
    </row>
    <row r="2090" spans="1:11" x14ac:dyDescent="0.2">
      <c r="A2090" t="s">
        <v>445</v>
      </c>
      <c r="B2090" t="s">
        <v>1128</v>
      </c>
      <c r="C2090" t="s">
        <v>6889</v>
      </c>
      <c r="D2090" t="s">
        <v>6890</v>
      </c>
      <c r="E2090" t="s">
        <v>560</v>
      </c>
      <c r="F2090" t="s">
        <v>11</v>
      </c>
      <c r="G2090" t="s">
        <v>17</v>
      </c>
      <c r="H2090">
        <f>43945*(1.01^10)</f>
        <v>48542.619301195395</v>
      </c>
      <c r="I2090">
        <f>197618*(1.01^10)</f>
        <v>218293.21517951146</v>
      </c>
      <c r="J2090" t="s">
        <v>6891</v>
      </c>
      <c r="K2090">
        <f t="shared" si="32"/>
        <v>559.73564476197839</v>
      </c>
    </row>
    <row r="2091" spans="1:11" x14ac:dyDescent="0.2">
      <c r="A2091" t="s">
        <v>445</v>
      </c>
      <c r="B2091" t="s">
        <v>1128</v>
      </c>
      <c r="C2091" t="s">
        <v>6892</v>
      </c>
      <c r="D2091" t="s">
        <v>6893</v>
      </c>
      <c r="E2091" t="s">
        <v>242</v>
      </c>
      <c r="F2091" t="s">
        <v>24</v>
      </c>
      <c r="G2091" t="s">
        <v>12</v>
      </c>
      <c r="H2091">
        <f>69109*(1.01^10)</f>
        <v>76339.330465042949</v>
      </c>
      <c r="I2091">
        <f>325056*(1.01^10)</f>
        <v>359064.04959766456</v>
      </c>
      <c r="J2091" t="s">
        <v>6894</v>
      </c>
      <c r="K2091">
        <f t="shared" si="32"/>
        <v>455.16350439923076</v>
      </c>
    </row>
    <row r="2092" spans="1:11" x14ac:dyDescent="0.2">
      <c r="A2092" t="s">
        <v>445</v>
      </c>
      <c r="B2092" t="s">
        <v>1128</v>
      </c>
      <c r="C2092" t="s">
        <v>6895</v>
      </c>
      <c r="D2092" t="s">
        <v>6896</v>
      </c>
      <c r="E2092" t="s">
        <v>4</v>
      </c>
      <c r="F2092" t="s">
        <v>24</v>
      </c>
      <c r="G2092" t="s">
        <v>17</v>
      </c>
      <c r="H2092">
        <f>27690*(1.01^10)</f>
        <v>30586.98665263626</v>
      </c>
      <c r="I2092">
        <f>133559*(1.01^10)</f>
        <v>147532.22644779508</v>
      </c>
      <c r="J2092" t="s">
        <v>6897</v>
      </c>
      <c r="K2092">
        <f t="shared" si="32"/>
        <v>495.36099917284594</v>
      </c>
    </row>
    <row r="2093" spans="1:11" x14ac:dyDescent="0.2">
      <c r="A2093" t="s">
        <v>445</v>
      </c>
      <c r="B2093" t="s">
        <v>1374</v>
      </c>
      <c r="C2093" t="s">
        <v>6898</v>
      </c>
      <c r="D2093" t="s">
        <v>6899</v>
      </c>
      <c r="E2093" t="s">
        <v>350</v>
      </c>
      <c r="F2093" t="s">
        <v>1027</v>
      </c>
      <c r="G2093" t="s">
        <v>24</v>
      </c>
      <c r="H2093">
        <f>32236*(1.01^10)</f>
        <v>35608.598834755598</v>
      </c>
      <c r="I2093">
        <f>167304*(1.01^10)</f>
        <v>184807.70006979621</v>
      </c>
      <c r="J2093" t="s">
        <v>6900</v>
      </c>
      <c r="K2093">
        <f t="shared" si="32"/>
        <v>169.03454061302611</v>
      </c>
    </row>
    <row r="2094" spans="1:11" x14ac:dyDescent="0.2">
      <c r="A2094" t="s">
        <v>445</v>
      </c>
      <c r="B2094" t="s">
        <v>1374</v>
      </c>
      <c r="C2094" t="s">
        <v>6901</v>
      </c>
      <c r="D2094" t="s">
        <v>6902</v>
      </c>
      <c r="E2094" t="s">
        <v>761</v>
      </c>
      <c r="F2094" t="s">
        <v>12</v>
      </c>
      <c r="G2094" t="s">
        <v>5</v>
      </c>
      <c r="H2094">
        <f>45895*(1.01^10)</f>
        <v>50696.632445747244</v>
      </c>
      <c r="I2094">
        <f>211539*(1.01^10)</f>
        <v>233670.65978736084</v>
      </c>
      <c r="J2094" t="s">
        <v>6903</v>
      </c>
      <c r="K2094">
        <f t="shared" si="32"/>
        <v>610.1518281166002</v>
      </c>
    </row>
    <row r="2095" spans="1:11" x14ac:dyDescent="0.2">
      <c r="A2095" t="s">
        <v>445</v>
      </c>
      <c r="B2095" t="s">
        <v>1374</v>
      </c>
      <c r="C2095" t="s">
        <v>6904</v>
      </c>
      <c r="D2095" t="s">
        <v>6905</v>
      </c>
      <c r="E2095" t="s">
        <v>51</v>
      </c>
      <c r="F2095" t="s">
        <v>92</v>
      </c>
      <c r="G2095" t="s">
        <v>5</v>
      </c>
      <c r="H2095">
        <f>44942*(1.01^10)</f>
        <v>49643.927560230361</v>
      </c>
      <c r="I2095">
        <f>195398*(1.01^10)</f>
        <v>215840.95406109857</v>
      </c>
      <c r="J2095" t="s">
        <v>6906</v>
      </c>
      <c r="K2095">
        <f t="shared" si="32"/>
        <v>1365.1258461154002</v>
      </c>
    </row>
    <row r="2096" spans="1:11" x14ac:dyDescent="0.2">
      <c r="A2096" t="s">
        <v>445</v>
      </c>
      <c r="B2096" t="s">
        <v>1374</v>
      </c>
      <c r="C2096" t="s">
        <v>6907</v>
      </c>
      <c r="D2096" t="s">
        <v>6908</v>
      </c>
      <c r="E2096" t="s">
        <v>2949</v>
      </c>
      <c r="F2096" t="s">
        <v>158</v>
      </c>
      <c r="G2096" t="s">
        <v>12</v>
      </c>
      <c r="H2096">
        <f>40914*(1.01^10)</f>
        <v>45194.509639074029</v>
      </c>
      <c r="I2096">
        <f>184611*(1.01^10)</f>
        <v>203925.39519428791</v>
      </c>
      <c r="J2096" t="s">
        <v>6909</v>
      </c>
      <c r="K2096">
        <f t="shared" si="32"/>
        <v>486.51619625075966</v>
      </c>
    </row>
    <row r="2097" spans="1:11" x14ac:dyDescent="0.2">
      <c r="A2097" t="s">
        <v>445</v>
      </c>
      <c r="B2097" t="s">
        <v>1374</v>
      </c>
      <c r="C2097" t="s">
        <v>6910</v>
      </c>
      <c r="D2097" t="s">
        <v>6911</v>
      </c>
      <c r="E2097" t="s">
        <v>2410</v>
      </c>
      <c r="F2097" t="s">
        <v>17</v>
      </c>
      <c r="G2097" t="s">
        <v>12</v>
      </c>
      <c r="H2097">
        <f>43474*(1.01^10)</f>
        <v>48022.342280126715</v>
      </c>
      <c r="I2097">
        <f>201791*(1.01^10)</f>
        <v>222902.80330885242</v>
      </c>
      <c r="J2097" t="s">
        <v>6912</v>
      </c>
      <c r="K2097">
        <f t="shared" si="32"/>
        <v>571.11602775649044</v>
      </c>
    </row>
    <row r="2098" spans="1:11" x14ac:dyDescent="0.2">
      <c r="A2098" t="s">
        <v>445</v>
      </c>
      <c r="B2098" t="s">
        <v>1374</v>
      </c>
      <c r="C2098" t="s">
        <v>6913</v>
      </c>
      <c r="D2098" t="s">
        <v>6914</v>
      </c>
      <c r="E2098" t="s">
        <v>535</v>
      </c>
      <c r="F2098" t="s">
        <v>274</v>
      </c>
      <c r="G2098" t="s">
        <v>12</v>
      </c>
      <c r="H2098">
        <f>28801*(1.01^10)</f>
        <v>31814.221833968109</v>
      </c>
      <c r="I2098">
        <f>131613*(1.01^10)</f>
        <v>145382.63179174488</v>
      </c>
      <c r="J2098" t="s">
        <v>6915</v>
      </c>
      <c r="K2098">
        <f t="shared" si="32"/>
        <v>357.06773597787281</v>
      </c>
    </row>
    <row r="2099" spans="1:11" x14ac:dyDescent="0.2">
      <c r="A2099" t="s">
        <v>445</v>
      </c>
      <c r="B2099" t="s">
        <v>6916</v>
      </c>
      <c r="C2099" t="s">
        <v>6917</v>
      </c>
      <c r="D2099" t="s">
        <v>6918</v>
      </c>
      <c r="E2099" t="s">
        <v>436</v>
      </c>
      <c r="F2099" t="s">
        <v>92</v>
      </c>
      <c r="G2099" t="s">
        <v>11</v>
      </c>
      <c r="H2099">
        <f>34618*(1.01^10)</f>
        <v>38239.808737485087</v>
      </c>
      <c r="I2099">
        <f>163945*(1.01^10)</f>
        <v>181097.27435053996</v>
      </c>
      <c r="J2099" t="s">
        <v>6919</v>
      </c>
      <c r="K2099">
        <f t="shared" si="32"/>
        <v>200.83919042508666</v>
      </c>
    </row>
    <row r="2100" spans="1:11" x14ac:dyDescent="0.2">
      <c r="A2100" t="s">
        <v>445</v>
      </c>
      <c r="B2100" t="s">
        <v>6916</v>
      </c>
      <c r="C2100" t="s">
        <v>6920</v>
      </c>
      <c r="D2100" t="s">
        <v>6921</v>
      </c>
      <c r="E2100" t="s">
        <v>537</v>
      </c>
      <c r="F2100" t="s">
        <v>24</v>
      </c>
      <c r="G2100" t="s">
        <v>24</v>
      </c>
      <c r="H2100">
        <f>18117*(1.01^10)</f>
        <v>20012.439046074796</v>
      </c>
      <c r="I2100">
        <f>85835*(1.01^10)</f>
        <v>94815.240134670763</v>
      </c>
      <c r="J2100" t="s">
        <v>6922</v>
      </c>
      <c r="K2100">
        <f t="shared" si="32"/>
        <v>278.25762876257613</v>
      </c>
    </row>
    <row r="2101" spans="1:11" x14ac:dyDescent="0.2">
      <c r="A2101" t="s">
        <v>445</v>
      </c>
      <c r="B2101" t="s">
        <v>6916</v>
      </c>
      <c r="C2101" t="s">
        <v>6923</v>
      </c>
      <c r="D2101" t="s">
        <v>6924</v>
      </c>
      <c r="E2101" t="s">
        <v>1195</v>
      </c>
      <c r="F2101" t="s">
        <v>24</v>
      </c>
      <c r="G2101" t="s">
        <v>12</v>
      </c>
      <c r="H2101">
        <f>31199*(1.01^10)</f>
        <v>34463.105690704178</v>
      </c>
      <c r="I2101">
        <f>146101*(1.01^10)</f>
        <v>161386.39714470244</v>
      </c>
      <c r="J2101" t="s">
        <v>6925</v>
      </c>
      <c r="K2101">
        <f t="shared" si="32"/>
        <v>470.66996446278347</v>
      </c>
    </row>
    <row r="2102" spans="1:11" x14ac:dyDescent="0.2">
      <c r="A2102" t="s">
        <v>445</v>
      </c>
      <c r="B2102" t="s">
        <v>6916</v>
      </c>
      <c r="C2102" t="s">
        <v>6926</v>
      </c>
      <c r="D2102" t="s">
        <v>6927</v>
      </c>
      <c r="E2102" t="s">
        <v>3238</v>
      </c>
      <c r="F2102" t="s">
        <v>405</v>
      </c>
      <c r="G2102" t="s">
        <v>12</v>
      </c>
      <c r="H2102">
        <f>70432*(1.01^10)</f>
        <v>77800.745536961971</v>
      </c>
      <c r="I2102">
        <f>327231*(1.01^10)</f>
        <v>361466.60272043396</v>
      </c>
      <c r="J2102" t="s">
        <v>6928</v>
      </c>
      <c r="K2102">
        <f t="shared" si="32"/>
        <v>578.99245504139253</v>
      </c>
    </row>
    <row r="2103" spans="1:11" x14ac:dyDescent="0.2">
      <c r="A2103" t="s">
        <v>445</v>
      </c>
      <c r="B2103" t="s">
        <v>6916</v>
      </c>
      <c r="C2103" t="s">
        <v>6929</v>
      </c>
      <c r="D2103" t="s">
        <v>6930</v>
      </c>
      <c r="E2103" t="s">
        <v>611</v>
      </c>
      <c r="F2103" t="s">
        <v>11</v>
      </c>
      <c r="G2103" t="s">
        <v>24</v>
      </c>
      <c r="H2103">
        <f>24308*(1.01^10)</f>
        <v>26851.154624495564</v>
      </c>
      <c r="I2103">
        <f>114851*(1.01^10)</f>
        <v>126866.95572560228</v>
      </c>
      <c r="J2103" t="s">
        <v>6931</v>
      </c>
      <c r="K2103">
        <f t="shared" si="32"/>
        <v>338.10830707041686</v>
      </c>
    </row>
    <row r="2104" spans="1:11" x14ac:dyDescent="0.2">
      <c r="A2104" t="s">
        <v>445</v>
      </c>
      <c r="B2104" t="s">
        <v>6916</v>
      </c>
      <c r="C2104" t="s">
        <v>6932</v>
      </c>
      <c r="D2104" t="s">
        <v>6933</v>
      </c>
      <c r="E2104" t="s">
        <v>1051</v>
      </c>
      <c r="F2104" t="s">
        <v>1589</v>
      </c>
      <c r="G2104" t="s">
        <v>17</v>
      </c>
      <c r="H2104">
        <f>48523*(1.01^10)</f>
        <v>53599.57939132789</v>
      </c>
      <c r="I2104">
        <f>228925*(1.01^10)</f>
        <v>252875.62005976005</v>
      </c>
      <c r="J2104" t="s">
        <v>6934</v>
      </c>
      <c r="K2104">
        <f t="shared" si="32"/>
        <v>275.72320989377431</v>
      </c>
    </row>
    <row r="2105" spans="1:11" x14ac:dyDescent="0.2">
      <c r="A2105" t="s">
        <v>445</v>
      </c>
      <c r="B2105" t="s">
        <v>6857</v>
      </c>
      <c r="C2105" t="s">
        <v>6935</v>
      </c>
      <c r="D2105" t="s">
        <v>6936</v>
      </c>
      <c r="E2105" t="s">
        <v>968</v>
      </c>
      <c r="F2105" t="s">
        <v>1340</v>
      </c>
      <c r="G2105" t="s">
        <v>17</v>
      </c>
      <c r="H2105">
        <f>51609*(1.01^10)</f>
        <v>57008.443270346863</v>
      </c>
      <c r="I2105">
        <f>295358*(1.01^10)</f>
        <v>326258.98171720264</v>
      </c>
      <c r="J2105" t="s">
        <v>6937</v>
      </c>
      <c r="K2105">
        <f t="shared" si="32"/>
        <v>106.34901936601491</v>
      </c>
    </row>
    <row r="2106" spans="1:11" x14ac:dyDescent="0.2">
      <c r="A2106" t="s">
        <v>445</v>
      </c>
      <c r="B2106" t="s">
        <v>6857</v>
      </c>
      <c r="C2106" t="s">
        <v>6938</v>
      </c>
      <c r="D2106" t="s">
        <v>6939</v>
      </c>
      <c r="E2106" t="s">
        <v>3385</v>
      </c>
      <c r="F2106" t="s">
        <v>998</v>
      </c>
      <c r="G2106" t="s">
        <v>11</v>
      </c>
      <c r="H2106">
        <f>57945*(1.01^10)</f>
        <v>64007.329056952258</v>
      </c>
      <c r="I2106">
        <f>289850*(1.01^10)</f>
        <v>320174.72305043769</v>
      </c>
      <c r="J2106" t="s">
        <v>6940</v>
      </c>
      <c r="K2106">
        <f t="shared" si="32"/>
        <v>117.58048437443749</v>
      </c>
    </row>
    <row r="2107" spans="1:11" x14ac:dyDescent="0.2">
      <c r="A2107" t="s">
        <v>445</v>
      </c>
      <c r="B2107" t="s">
        <v>6857</v>
      </c>
      <c r="C2107" t="s">
        <v>6941</v>
      </c>
      <c r="D2107" t="s">
        <v>6942</v>
      </c>
      <c r="E2107" t="s">
        <v>5070</v>
      </c>
      <c r="F2107" t="s">
        <v>498</v>
      </c>
      <c r="G2107" t="s">
        <v>17</v>
      </c>
      <c r="H2107">
        <f>50854*(1.01^10)</f>
        <v>56174.45356566141</v>
      </c>
      <c r="I2107">
        <f>279848*(1.01^10)</f>
        <v>309126.29255207482</v>
      </c>
      <c r="J2107" t="s">
        <v>6943</v>
      </c>
      <c r="K2107">
        <f t="shared" si="32"/>
        <v>110.91703426866567</v>
      </c>
    </row>
    <row r="2108" spans="1:11" x14ac:dyDescent="0.2">
      <c r="A2108" t="s">
        <v>445</v>
      </c>
      <c r="B2108" t="s">
        <v>6857</v>
      </c>
      <c r="C2108" t="s">
        <v>6944</v>
      </c>
      <c r="D2108" t="s">
        <v>6945</v>
      </c>
      <c r="E2108" t="s">
        <v>1701</v>
      </c>
      <c r="F2108" t="s">
        <v>47</v>
      </c>
      <c r="G2108" t="s">
        <v>24</v>
      </c>
      <c r="H2108">
        <f>17238*(1.01^10)</f>
        <v>19041.476197838347</v>
      </c>
      <c r="I2108">
        <f>91257*(1.01^10)</f>
        <v>100804.50129865031</v>
      </c>
      <c r="J2108" t="s">
        <v>6946</v>
      </c>
      <c r="K2108">
        <f t="shared" si="32"/>
        <v>54.308218843174394</v>
      </c>
    </row>
    <row r="2109" spans="1:11" x14ac:dyDescent="0.2">
      <c r="A2109" t="s">
        <v>445</v>
      </c>
      <c r="B2109" t="s">
        <v>657</v>
      </c>
      <c r="C2109" t="s">
        <v>6947</v>
      </c>
      <c r="D2109" t="s">
        <v>6948</v>
      </c>
      <c r="E2109" t="s">
        <v>157</v>
      </c>
      <c r="F2109" t="s">
        <v>5</v>
      </c>
      <c r="G2109" t="s">
        <v>12</v>
      </c>
      <c r="H2109">
        <f>10149*(1.01^10)</f>
        <v>11210.809950798317</v>
      </c>
      <c r="I2109">
        <f>49952*(1.01^10)</f>
        <v>55178.084408540497</v>
      </c>
      <c r="J2109" t="s">
        <v>6949</v>
      </c>
      <c r="K2109">
        <f t="shared" si="32"/>
        <v>46.005327851543662</v>
      </c>
    </row>
    <row r="2110" spans="1:11" x14ac:dyDescent="0.2">
      <c r="A2110" t="s">
        <v>445</v>
      </c>
      <c r="B2110" t="s">
        <v>657</v>
      </c>
      <c r="C2110" t="s">
        <v>6950</v>
      </c>
      <c r="D2110" t="s">
        <v>6951</v>
      </c>
      <c r="E2110" t="s">
        <v>453</v>
      </c>
      <c r="F2110" t="s">
        <v>5</v>
      </c>
      <c r="G2110" t="s">
        <v>12</v>
      </c>
      <c r="H2110">
        <f>15139*(1.01^10)</f>
        <v>16722.87435660023</v>
      </c>
      <c r="I2110">
        <f>76721*(1.01^10)</f>
        <v>84747.71408367304</v>
      </c>
      <c r="J2110" t="s">
        <v>6952</v>
      </c>
      <c r="K2110">
        <f t="shared" si="32"/>
        <v>62.801246317389698</v>
      </c>
    </row>
    <row r="2111" spans="1:11" x14ac:dyDescent="0.2">
      <c r="A2111" t="s">
        <v>445</v>
      </c>
      <c r="B2111" t="s">
        <v>657</v>
      </c>
      <c r="C2111" t="s">
        <v>6953</v>
      </c>
      <c r="D2111" t="s">
        <v>6954</v>
      </c>
      <c r="E2111" t="s">
        <v>1576</v>
      </c>
      <c r="F2111" t="s">
        <v>92</v>
      </c>
      <c r="G2111" t="s">
        <v>12</v>
      </c>
      <c r="H2111">
        <f>5875*(1.01^10)</f>
        <v>6489.6549867908279</v>
      </c>
      <c r="I2111">
        <f>33859*(1.01^10)</f>
        <v>37401.400544297983</v>
      </c>
      <c r="J2111" t="s">
        <v>6955</v>
      </c>
      <c r="K2111">
        <f t="shared" si="32"/>
        <v>52.447943106405802</v>
      </c>
    </row>
    <row r="2112" spans="1:11" x14ac:dyDescent="0.2">
      <c r="A2112" t="s">
        <v>445</v>
      </c>
      <c r="B2112" t="s">
        <v>657</v>
      </c>
      <c r="C2112" t="s">
        <v>6956</v>
      </c>
      <c r="D2112" t="s">
        <v>6957</v>
      </c>
      <c r="E2112" t="s">
        <v>157</v>
      </c>
      <c r="F2112" t="s">
        <v>158</v>
      </c>
      <c r="G2112" t="s">
        <v>12</v>
      </c>
      <c r="H2112">
        <f>11089*(1.01^10)</f>
        <v>12249.15474868485</v>
      </c>
      <c r="I2112">
        <f>53570*(1.01^10)</f>
        <v>59174.607258278236</v>
      </c>
      <c r="J2112" t="s">
        <v>6958</v>
      </c>
      <c r="K2112">
        <f t="shared" si="32"/>
        <v>36.391818465190767</v>
      </c>
    </row>
    <row r="2113" spans="1:11" x14ac:dyDescent="0.2">
      <c r="A2113" t="s">
        <v>445</v>
      </c>
      <c r="B2113" t="s">
        <v>2509</v>
      </c>
      <c r="C2113" t="s">
        <v>6959</v>
      </c>
      <c r="D2113" t="s">
        <v>6960</v>
      </c>
      <c r="E2113" t="s">
        <v>1974</v>
      </c>
      <c r="F2113" t="s">
        <v>158</v>
      </c>
      <c r="G2113" t="s">
        <v>17</v>
      </c>
      <c r="H2113">
        <f>62857*(1.01^10)</f>
        <v>69433.232936972097</v>
      </c>
      <c r="I2113">
        <f>291875*(1.01^10)</f>
        <v>322411.58285439538</v>
      </c>
      <c r="J2113" t="s">
        <v>6961</v>
      </c>
      <c r="K2113">
        <f t="shared" si="32"/>
        <v>439.71968055085927</v>
      </c>
    </row>
    <row r="2114" spans="1:11" x14ac:dyDescent="0.2">
      <c r="A2114" t="s">
        <v>445</v>
      </c>
      <c r="B2114" t="s">
        <v>2509</v>
      </c>
      <c r="C2114" t="s">
        <v>6962</v>
      </c>
      <c r="D2114" t="s">
        <v>6963</v>
      </c>
      <c r="E2114" t="s">
        <v>1646</v>
      </c>
      <c r="F2114" t="s">
        <v>12</v>
      </c>
      <c r="G2114" t="s">
        <v>274</v>
      </c>
      <c r="H2114">
        <f>156321*(1.01^10)</f>
        <v>172675.63526640495</v>
      </c>
      <c r="I2114">
        <f>704465*(1.01^10)</f>
        <v>778167.6255778044</v>
      </c>
      <c r="J2114" t="s">
        <v>6964</v>
      </c>
      <c r="K2114">
        <f t="shared" si="32"/>
        <v>893.45824034667532</v>
      </c>
    </row>
    <row r="2115" spans="1:11" x14ac:dyDescent="0.2">
      <c r="A2115" t="s">
        <v>445</v>
      </c>
      <c r="B2115" t="s">
        <v>2509</v>
      </c>
      <c r="C2115" t="s">
        <v>6965</v>
      </c>
      <c r="D2115" t="s">
        <v>6966</v>
      </c>
      <c r="E2115" t="s">
        <v>484</v>
      </c>
      <c r="F2115" t="s">
        <v>382</v>
      </c>
      <c r="G2115" t="s">
        <v>12</v>
      </c>
      <c r="H2115">
        <f>27094*(1.01^10)</f>
        <v>29928.63186589118</v>
      </c>
      <c r="I2115">
        <f>124090*(1.01^10)</f>
        <v>137072.5595422764</v>
      </c>
      <c r="J2115" t="s">
        <v>6967</v>
      </c>
      <c r="K2115">
        <f t="shared" ref="K2115:K2178" si="33">I2115/J2115</f>
        <v>308.02253268565499</v>
      </c>
    </row>
    <row r="2116" spans="1:11" x14ac:dyDescent="0.2">
      <c r="A2116" t="s">
        <v>445</v>
      </c>
      <c r="B2116" t="s">
        <v>2509</v>
      </c>
      <c r="C2116" t="s">
        <v>6968</v>
      </c>
      <c r="D2116" t="s">
        <v>6969</v>
      </c>
      <c r="E2116" t="s">
        <v>493</v>
      </c>
      <c r="F2116" t="s">
        <v>92</v>
      </c>
      <c r="G2116" t="s">
        <v>24</v>
      </c>
      <c r="H2116">
        <f>71698*(1.01^10)</f>
        <v>79199.197147732557</v>
      </c>
      <c r="I2116">
        <f>324315*(1.01^10)</f>
        <v>358245.52460273489</v>
      </c>
      <c r="J2116" t="s">
        <v>6970</v>
      </c>
      <c r="K2116">
        <f t="shared" si="33"/>
        <v>418.93255342423106</v>
      </c>
    </row>
    <row r="2117" spans="1:11" x14ac:dyDescent="0.2">
      <c r="A2117" t="s">
        <v>445</v>
      </c>
      <c r="B2117" t="s">
        <v>2509</v>
      </c>
      <c r="C2117" t="s">
        <v>6971</v>
      </c>
      <c r="D2117" t="s">
        <v>6705</v>
      </c>
      <c r="E2117" t="s">
        <v>5142</v>
      </c>
      <c r="F2117" t="s">
        <v>445</v>
      </c>
      <c r="G2117" t="s">
        <v>12</v>
      </c>
      <c r="H2117">
        <f>61985*(1.01^10)</f>
        <v>68470.002443613528</v>
      </c>
      <c r="I2117">
        <f>291872*(1.01^10)</f>
        <v>322408.26898801915</v>
      </c>
      <c r="J2117" t="s">
        <v>6972</v>
      </c>
      <c r="K2117">
        <f t="shared" si="33"/>
        <v>365.67875633124095</v>
      </c>
    </row>
    <row r="2118" spans="1:11" x14ac:dyDescent="0.2">
      <c r="A2118" t="s">
        <v>445</v>
      </c>
      <c r="B2118" t="s">
        <v>6973</v>
      </c>
      <c r="C2118" t="s">
        <v>6974</v>
      </c>
      <c r="D2118" t="s">
        <v>6975</v>
      </c>
      <c r="E2118" t="s">
        <v>676</v>
      </c>
      <c r="F2118" t="s">
        <v>5</v>
      </c>
      <c r="G2118" t="s">
        <v>11</v>
      </c>
      <c r="H2118">
        <f>56574*(1.01^10)</f>
        <v>62492.892123013495</v>
      </c>
      <c r="I2118">
        <f>278300*(1.01^10)</f>
        <v>307416.33750193828</v>
      </c>
      <c r="J2118" t="s">
        <v>6976</v>
      </c>
      <c r="K2118">
        <f t="shared" si="33"/>
        <v>1759.4487808566039</v>
      </c>
    </row>
    <row r="2119" spans="1:11" x14ac:dyDescent="0.2">
      <c r="A2119" t="s">
        <v>445</v>
      </c>
      <c r="B2119" t="s">
        <v>6973</v>
      </c>
      <c r="C2119" t="s">
        <v>6977</v>
      </c>
      <c r="D2119" t="s">
        <v>6978</v>
      </c>
      <c r="E2119" t="s">
        <v>410</v>
      </c>
      <c r="F2119" t="s">
        <v>12</v>
      </c>
      <c r="G2119" t="s">
        <v>5</v>
      </c>
      <c r="H2119">
        <f>32898*(1.01^10)</f>
        <v>36339.858681777812</v>
      </c>
      <c r="I2119">
        <f>164703*(1.01^10)</f>
        <v>181934.57792160165</v>
      </c>
      <c r="J2119" t="s">
        <v>6979</v>
      </c>
      <c r="K2119">
        <f t="shared" si="33"/>
        <v>1272.9286427919576</v>
      </c>
    </row>
    <row r="2120" spans="1:11" x14ac:dyDescent="0.2">
      <c r="A2120" t="s">
        <v>445</v>
      </c>
      <c r="B2120" t="s">
        <v>6973</v>
      </c>
      <c r="C2120" t="s">
        <v>6980</v>
      </c>
      <c r="D2120" t="s">
        <v>6981</v>
      </c>
      <c r="E2120" t="s">
        <v>418</v>
      </c>
      <c r="F2120" t="s">
        <v>11</v>
      </c>
      <c r="G2120" t="s">
        <v>24</v>
      </c>
      <c r="H2120">
        <f>47637*(1.01^10)</f>
        <v>52620.88418821356</v>
      </c>
      <c r="I2120">
        <f>242451*(1.01^10)</f>
        <v>267816.73892807198</v>
      </c>
      <c r="J2120" t="s">
        <v>6982</v>
      </c>
      <c r="K2120">
        <f t="shared" si="33"/>
        <v>860.47675094110014</v>
      </c>
    </row>
    <row r="2121" spans="1:11" x14ac:dyDescent="0.2">
      <c r="A2121" t="s">
        <v>445</v>
      </c>
      <c r="B2121" t="s">
        <v>6973</v>
      </c>
      <c r="C2121" t="s">
        <v>6983</v>
      </c>
      <c r="D2121" t="s">
        <v>6984</v>
      </c>
      <c r="E2121" t="s">
        <v>814</v>
      </c>
      <c r="F2121" t="s">
        <v>6</v>
      </c>
      <c r="G2121" t="s">
        <v>24</v>
      </c>
      <c r="H2121">
        <f>53614*(1.01^10)</f>
        <v>59223.210631796333</v>
      </c>
      <c r="I2121">
        <f>261368*(1.01^10)</f>
        <v>288712.87567447574</v>
      </c>
      <c r="J2121" t="s">
        <v>6985</v>
      </c>
      <c r="K2121">
        <f t="shared" si="33"/>
        <v>537.39184937363768</v>
      </c>
    </row>
    <row r="2122" spans="1:11" x14ac:dyDescent="0.2">
      <c r="A2122" t="s">
        <v>445</v>
      </c>
      <c r="B2122" t="s">
        <v>6973</v>
      </c>
      <c r="C2122" t="s">
        <v>6986</v>
      </c>
      <c r="D2122" t="s">
        <v>6987</v>
      </c>
      <c r="E2122" t="s">
        <v>1267</v>
      </c>
      <c r="F2122" t="s">
        <v>158</v>
      </c>
      <c r="G2122" t="s">
        <v>24</v>
      </c>
      <c r="H2122">
        <f>56991*(1.01^10)</f>
        <v>62953.519549309967</v>
      </c>
      <c r="I2122">
        <f>281864*(1.01^10)</f>
        <v>311353.21075690381</v>
      </c>
      <c r="J2122" t="s">
        <v>6988</v>
      </c>
      <c r="K2122">
        <f t="shared" si="33"/>
        <v>484.32482657218924</v>
      </c>
    </row>
    <row r="2123" spans="1:11" x14ac:dyDescent="0.2">
      <c r="A2123" t="s">
        <v>445</v>
      </c>
      <c r="B2123" t="s">
        <v>2550</v>
      </c>
      <c r="C2123" t="s">
        <v>6989</v>
      </c>
      <c r="D2123" t="s">
        <v>6990</v>
      </c>
      <c r="E2123" t="s">
        <v>537</v>
      </c>
      <c r="F2123" t="s">
        <v>24</v>
      </c>
      <c r="G2123" t="s">
        <v>12</v>
      </c>
      <c r="H2123">
        <f>26783*(1.01^10)</f>
        <v>29585.094384888296</v>
      </c>
      <c r="I2123">
        <f>121379*(1.01^10)</f>
        <v>134077.92896028663</v>
      </c>
      <c r="J2123" t="s">
        <v>6991</v>
      </c>
      <c r="K2123">
        <f t="shared" si="33"/>
        <v>911.97640479236645</v>
      </c>
    </row>
    <row r="2124" spans="1:11" x14ac:dyDescent="0.2">
      <c r="A2124" t="s">
        <v>445</v>
      </c>
      <c r="B2124" t="s">
        <v>2550</v>
      </c>
      <c r="C2124" t="s">
        <v>6992</v>
      </c>
      <c r="D2124" t="s">
        <v>6993</v>
      </c>
      <c r="E2124" t="s">
        <v>67</v>
      </c>
      <c r="F2124" t="s">
        <v>24</v>
      </c>
      <c r="G2124" t="s">
        <v>12</v>
      </c>
      <c r="H2124">
        <f>36922*(1.01^10)</f>
        <v>40784.8581144325</v>
      </c>
      <c r="I2124">
        <f>166897*(1.01^10)</f>
        <v>184358.11886475384</v>
      </c>
      <c r="J2124" t="s">
        <v>6994</v>
      </c>
      <c r="K2124">
        <f t="shared" si="33"/>
        <v>1079.1945583254676</v>
      </c>
    </row>
    <row r="2125" spans="1:11" x14ac:dyDescent="0.2">
      <c r="A2125" t="s">
        <v>445</v>
      </c>
      <c r="B2125" t="s">
        <v>2550</v>
      </c>
      <c r="C2125" t="s">
        <v>6995</v>
      </c>
      <c r="D2125" t="s">
        <v>6996</v>
      </c>
      <c r="E2125" t="s">
        <v>324</v>
      </c>
      <c r="F2125" t="s">
        <v>24</v>
      </c>
      <c r="G2125" t="s">
        <v>12</v>
      </c>
      <c r="H2125">
        <f>44670*(1.01^10)</f>
        <v>49343.470342118519</v>
      </c>
      <c r="I2125">
        <f>202943*(1.01^10)</f>
        <v>224175.32799732612</v>
      </c>
      <c r="J2125" t="s">
        <v>6997</v>
      </c>
      <c r="K2125">
        <f t="shared" si="33"/>
        <v>668.10530642007666</v>
      </c>
    </row>
    <row r="2126" spans="1:11" x14ac:dyDescent="0.2">
      <c r="A2126" t="s">
        <v>445</v>
      </c>
      <c r="B2126" t="s">
        <v>2550</v>
      </c>
      <c r="C2126" t="s">
        <v>6998</v>
      </c>
      <c r="D2126" t="s">
        <v>6999</v>
      </c>
      <c r="E2126" t="s">
        <v>1303</v>
      </c>
      <c r="F2126" t="s">
        <v>12</v>
      </c>
      <c r="G2126" t="s">
        <v>24</v>
      </c>
      <c r="H2126">
        <f>34975*(1.01^10)</f>
        <v>38634.158836256887</v>
      </c>
      <c r="I2126">
        <f>168077*(1.01^10)</f>
        <v>185661.57297273906</v>
      </c>
      <c r="J2126" t="s">
        <v>7000</v>
      </c>
      <c r="K2126">
        <f t="shared" si="33"/>
        <v>275.62067541674884</v>
      </c>
    </row>
    <row r="2127" spans="1:11" x14ac:dyDescent="0.2">
      <c r="A2127" t="s">
        <v>445</v>
      </c>
      <c r="B2127" t="s">
        <v>114</v>
      </c>
      <c r="C2127" t="s">
        <v>7001</v>
      </c>
      <c r="D2127" t="s">
        <v>7002</v>
      </c>
      <c r="E2127" t="s">
        <v>1229</v>
      </c>
      <c r="F2127" t="s">
        <v>92</v>
      </c>
      <c r="G2127" t="s">
        <v>17</v>
      </c>
      <c r="H2127">
        <f>34763*(1.01^10)</f>
        <v>38399.978945669711</v>
      </c>
      <c r="I2127">
        <f>156095*(1.01^10)</f>
        <v>172425.99066606202</v>
      </c>
      <c r="J2127" t="s">
        <v>7003</v>
      </c>
      <c r="K2127">
        <f t="shared" si="33"/>
        <v>842.81722950991491</v>
      </c>
    </row>
    <row r="2128" spans="1:11" x14ac:dyDescent="0.2">
      <c r="A2128" t="s">
        <v>445</v>
      </c>
      <c r="B2128" t="s">
        <v>114</v>
      </c>
      <c r="C2128" t="s">
        <v>7004</v>
      </c>
      <c r="D2128" t="s">
        <v>7005</v>
      </c>
      <c r="E2128" t="s">
        <v>1010</v>
      </c>
      <c r="F2128" t="s">
        <v>796</v>
      </c>
      <c r="G2128" t="s">
        <v>12</v>
      </c>
      <c r="H2128">
        <f>24641*(1.01^10)</f>
        <v>27218.993792257497</v>
      </c>
      <c r="I2128">
        <f>127396*(1.01^10)</f>
        <v>140724.44028888585</v>
      </c>
      <c r="J2128" t="s">
        <v>7006</v>
      </c>
      <c r="K2128">
        <f t="shared" si="33"/>
        <v>467.62305670627404</v>
      </c>
    </row>
    <row r="2129" spans="1:11" x14ac:dyDescent="0.2">
      <c r="A2129" t="s">
        <v>445</v>
      </c>
      <c r="B2129" t="s">
        <v>114</v>
      </c>
      <c r="C2129" t="s">
        <v>7007</v>
      </c>
      <c r="D2129" t="s">
        <v>7008</v>
      </c>
      <c r="E2129" t="s">
        <v>738</v>
      </c>
      <c r="F2129" t="s">
        <v>24</v>
      </c>
      <c r="G2129" t="s">
        <v>12</v>
      </c>
      <c r="H2129">
        <f>51966*(1.01^10)</f>
        <v>57402.793369118663</v>
      </c>
      <c r="I2129">
        <f>266700*(1.01^10)</f>
        <v>294602.7208471683</v>
      </c>
      <c r="J2129" t="s">
        <v>7009</v>
      </c>
      <c r="K2129">
        <f t="shared" si="33"/>
        <v>835.63371800295397</v>
      </c>
    </row>
    <row r="2130" spans="1:11" x14ac:dyDescent="0.2">
      <c r="A2130" t="s">
        <v>445</v>
      </c>
      <c r="B2130" t="s">
        <v>114</v>
      </c>
      <c r="C2130" t="s">
        <v>7010</v>
      </c>
      <c r="D2130" t="s">
        <v>7011</v>
      </c>
      <c r="E2130" t="s">
        <v>1101</v>
      </c>
      <c r="F2130" t="s">
        <v>12</v>
      </c>
      <c r="G2130" t="s">
        <v>24</v>
      </c>
      <c r="H2130">
        <f>25840*(1.01^10)</f>
        <v>28543.43572062553</v>
      </c>
      <c r="I2130">
        <f>130242*(1.01^10)</f>
        <v>143868.19485780614</v>
      </c>
      <c r="J2130" t="s">
        <v>7012</v>
      </c>
      <c r="K2130">
        <f t="shared" si="33"/>
        <v>838.99860403822447</v>
      </c>
    </row>
    <row r="2131" spans="1:11" x14ac:dyDescent="0.2">
      <c r="A2131" t="s">
        <v>445</v>
      </c>
      <c r="B2131" t="s">
        <v>114</v>
      </c>
      <c r="C2131" t="s">
        <v>7013</v>
      </c>
      <c r="D2131" t="s">
        <v>7014</v>
      </c>
      <c r="E2131" t="s">
        <v>47</v>
      </c>
      <c r="F2131" t="s">
        <v>24</v>
      </c>
      <c r="G2131" t="s">
        <v>12</v>
      </c>
      <c r="H2131">
        <f>12808*(1.01^10)</f>
        <v>14148.000182266711</v>
      </c>
      <c r="I2131">
        <f>58371*(1.01^10)</f>
        <v>64477.898082377433</v>
      </c>
      <c r="J2131" t="s">
        <v>7015</v>
      </c>
      <c r="K2131">
        <f t="shared" si="33"/>
        <v>1016.1148898147204</v>
      </c>
    </row>
    <row r="2132" spans="1:11" x14ac:dyDescent="0.2">
      <c r="A2132" t="s">
        <v>445</v>
      </c>
      <c r="B2132" t="s">
        <v>79</v>
      </c>
      <c r="C2132" t="s">
        <v>6671</v>
      </c>
      <c r="D2132" t="s">
        <v>6672</v>
      </c>
      <c r="E2132" t="s">
        <v>458</v>
      </c>
      <c r="F2132" t="s">
        <v>24</v>
      </c>
      <c r="G2132" t="s">
        <v>12</v>
      </c>
      <c r="H2132">
        <f>4765*(1.01^10)</f>
        <v>5263.5244275843907</v>
      </c>
      <c r="I2132">
        <f>22001*(1.01^10)</f>
        <v>24302.791381171915</v>
      </c>
      <c r="J2132" t="s">
        <v>7016</v>
      </c>
      <c r="K2132">
        <f t="shared" si="33"/>
        <v>1224.6335303044823</v>
      </c>
    </row>
    <row r="2133" spans="1:11" x14ac:dyDescent="0.2">
      <c r="A2133" t="s">
        <v>445</v>
      </c>
      <c r="B2133" t="s">
        <v>79</v>
      </c>
      <c r="C2133" t="s">
        <v>7017</v>
      </c>
      <c r="D2133" t="s">
        <v>7018</v>
      </c>
      <c r="E2133" t="s">
        <v>484</v>
      </c>
      <c r="F2133" t="s">
        <v>12</v>
      </c>
      <c r="G2133" t="s">
        <v>24</v>
      </c>
      <c r="H2133">
        <f>9984*(1.01^10)</f>
        <v>11028.547300105469</v>
      </c>
      <c r="I2133">
        <f>49941*(1.01^10)</f>
        <v>55165.933565160973</v>
      </c>
      <c r="J2133" t="s">
        <v>7019</v>
      </c>
      <c r="K2133">
        <f t="shared" si="33"/>
        <v>83.203902170158159</v>
      </c>
    </row>
    <row r="2134" spans="1:11" x14ac:dyDescent="0.2">
      <c r="A2134" t="s">
        <v>445</v>
      </c>
      <c r="B2134" t="s">
        <v>79</v>
      </c>
      <c r="C2134" t="s">
        <v>7013</v>
      </c>
      <c r="D2134" t="s">
        <v>7014</v>
      </c>
      <c r="E2134" t="s">
        <v>58</v>
      </c>
      <c r="F2134" t="s">
        <v>12</v>
      </c>
      <c r="G2134" t="s">
        <v>12</v>
      </c>
      <c r="H2134">
        <f>31941*(1.01^10)</f>
        <v>35282.735307759292</v>
      </c>
      <c r="I2134">
        <f>158881*(1.01^10)</f>
        <v>175503.46790745761</v>
      </c>
      <c r="J2134" t="s">
        <v>7020</v>
      </c>
      <c r="K2134">
        <f t="shared" si="33"/>
        <v>647.77867053146554</v>
      </c>
    </row>
    <row r="2135" spans="1:11" x14ac:dyDescent="0.2">
      <c r="A2135" t="s">
        <v>445</v>
      </c>
      <c r="B2135" t="s">
        <v>79</v>
      </c>
      <c r="C2135" t="s">
        <v>7001</v>
      </c>
      <c r="D2135" t="s">
        <v>7002</v>
      </c>
      <c r="E2135" t="s">
        <v>158</v>
      </c>
      <c r="F2135" t="s">
        <v>24</v>
      </c>
      <c r="G2135" t="s">
        <v>24</v>
      </c>
      <c r="H2135">
        <f>1747*(1.01^10)</f>
        <v>1929.7748530933748</v>
      </c>
      <c r="I2135">
        <f>8253*(1.01^10)</f>
        <v>9116.446401018673</v>
      </c>
      <c r="J2135" t="s">
        <v>7021</v>
      </c>
      <c r="K2135">
        <f t="shared" si="33"/>
        <v>953.7965415539868</v>
      </c>
    </row>
    <row r="2136" spans="1:11" x14ac:dyDescent="0.2">
      <c r="A2136" t="s">
        <v>445</v>
      </c>
      <c r="B2136" t="s">
        <v>79</v>
      </c>
      <c r="C2136" t="s">
        <v>7010</v>
      </c>
      <c r="D2136" t="s">
        <v>7011</v>
      </c>
      <c r="E2136" t="s">
        <v>2484</v>
      </c>
      <c r="F2136" t="s">
        <v>92</v>
      </c>
      <c r="G2136" t="s">
        <v>12</v>
      </c>
      <c r="H2136">
        <f>46984*(1.01^10)</f>
        <v>51899.565940320041</v>
      </c>
      <c r="I2136">
        <f>233586*(1.01^10)</f>
        <v>258024.26378630169</v>
      </c>
      <c r="J2136" t="s">
        <v>7022</v>
      </c>
      <c r="K2136">
        <f t="shared" si="33"/>
        <v>282.64756521940035</v>
      </c>
    </row>
    <row r="2137" spans="1:11" x14ac:dyDescent="0.2">
      <c r="A2137" t="s">
        <v>445</v>
      </c>
      <c r="B2137" t="s">
        <v>79</v>
      </c>
      <c r="C2137" t="s">
        <v>6719</v>
      </c>
      <c r="D2137" t="s">
        <v>6720</v>
      </c>
      <c r="E2137" t="s">
        <v>152</v>
      </c>
      <c r="F2137" t="s">
        <v>24</v>
      </c>
      <c r="G2137" t="s">
        <v>24</v>
      </c>
      <c r="H2137">
        <f>1974*(1.01^10)</f>
        <v>2180.5240755617183</v>
      </c>
      <c r="I2137">
        <f>9500*(1.01^10)</f>
        <v>10493.910191406445</v>
      </c>
      <c r="J2137" t="s">
        <v>7023</v>
      </c>
      <c r="K2137">
        <f t="shared" si="33"/>
        <v>224.43500770791135</v>
      </c>
    </row>
    <row r="2138" spans="1:11" x14ac:dyDescent="0.2">
      <c r="A2138" t="s">
        <v>445</v>
      </c>
      <c r="B2138" t="s">
        <v>3118</v>
      </c>
      <c r="C2138" t="s">
        <v>7024</v>
      </c>
      <c r="D2138" t="s">
        <v>7025</v>
      </c>
      <c r="E2138" t="s">
        <v>313</v>
      </c>
      <c r="F2138" t="s">
        <v>24</v>
      </c>
      <c r="G2138" t="s">
        <v>24</v>
      </c>
      <c r="H2138">
        <f>7910*(1.01^10)</f>
        <v>8737.5610120026304</v>
      </c>
      <c r="I2138">
        <f>38061*(1.01^10)</f>
        <v>42043.022715275867</v>
      </c>
      <c r="J2138" t="s">
        <v>7026</v>
      </c>
      <c r="K2138">
        <f t="shared" si="33"/>
        <v>773.62424062310276</v>
      </c>
    </row>
    <row r="2139" spans="1:11" x14ac:dyDescent="0.2">
      <c r="A2139" t="s">
        <v>445</v>
      </c>
      <c r="B2139" t="s">
        <v>3118</v>
      </c>
      <c r="C2139" t="s">
        <v>7027</v>
      </c>
      <c r="D2139" t="s">
        <v>7028</v>
      </c>
      <c r="E2139" t="s">
        <v>1101</v>
      </c>
      <c r="F2139" t="s">
        <v>24</v>
      </c>
      <c r="G2139" t="s">
        <v>17</v>
      </c>
      <c r="H2139">
        <f>34016*(1.01^10)</f>
        <v>37574.826217987538</v>
      </c>
      <c r="I2139">
        <f>155333*(1.01^10)</f>
        <v>171584.26860649866</v>
      </c>
      <c r="J2139" t="s">
        <v>7029</v>
      </c>
      <c r="K2139">
        <f t="shared" si="33"/>
        <v>924.60521839733906</v>
      </c>
    </row>
    <row r="2140" spans="1:11" x14ac:dyDescent="0.2">
      <c r="A2140" t="s">
        <v>445</v>
      </c>
      <c r="B2140" t="s">
        <v>3118</v>
      </c>
      <c r="C2140" t="s">
        <v>7030</v>
      </c>
      <c r="D2140" t="s">
        <v>7031</v>
      </c>
      <c r="E2140" t="s">
        <v>56</v>
      </c>
      <c r="F2140" t="s">
        <v>24</v>
      </c>
      <c r="G2140" t="s">
        <v>24</v>
      </c>
      <c r="H2140">
        <f>6620*(1.01^10)</f>
        <v>7312.5984702221758</v>
      </c>
      <c r="I2140">
        <f>32350*(1.01^10)</f>
        <v>35734.52575705247</v>
      </c>
      <c r="J2140" t="s">
        <v>7032</v>
      </c>
      <c r="K2140">
        <f t="shared" si="33"/>
        <v>665.02774573042097</v>
      </c>
    </row>
    <row r="2141" spans="1:11" x14ac:dyDescent="0.2">
      <c r="A2141" t="s">
        <v>445</v>
      </c>
      <c r="B2141" t="s">
        <v>3118</v>
      </c>
      <c r="C2141" t="s">
        <v>7033</v>
      </c>
      <c r="D2141" t="s">
        <v>7034</v>
      </c>
      <c r="E2141" t="s">
        <v>315</v>
      </c>
      <c r="F2141" t="s">
        <v>24</v>
      </c>
      <c r="G2141" t="s">
        <v>24</v>
      </c>
      <c r="H2141">
        <f>38177*(1.01^10)</f>
        <v>42171.158881823561</v>
      </c>
      <c r="I2141">
        <f>169235*(1.01^10)</f>
        <v>186940.72539396523</v>
      </c>
      <c r="J2141" t="s">
        <v>7035</v>
      </c>
      <c r="K2141">
        <f t="shared" si="33"/>
        <v>744.60015733610828</v>
      </c>
    </row>
    <row r="2142" spans="1:11" x14ac:dyDescent="0.2">
      <c r="A2142" t="s">
        <v>445</v>
      </c>
      <c r="B2142" t="s">
        <v>3118</v>
      </c>
      <c r="C2142" t="s">
        <v>7036</v>
      </c>
      <c r="D2142" t="s">
        <v>7037</v>
      </c>
      <c r="E2142" t="s">
        <v>1010</v>
      </c>
      <c r="F2142" t="s">
        <v>152</v>
      </c>
      <c r="G2142" t="s">
        <v>5</v>
      </c>
      <c r="H2142">
        <f>52362*(1.01^10)</f>
        <v>57840.223730781501</v>
      </c>
      <c r="I2142">
        <f>262531*(1.01^10)</f>
        <v>289997.55120632902</v>
      </c>
      <c r="J2142" t="s">
        <v>7038</v>
      </c>
      <c r="K2142">
        <f t="shared" si="33"/>
        <v>700.89494314346905</v>
      </c>
    </row>
    <row r="2143" spans="1:11" x14ac:dyDescent="0.2">
      <c r="A2143" t="s">
        <v>445</v>
      </c>
      <c r="B2143" t="s">
        <v>3118</v>
      </c>
      <c r="C2143" t="s">
        <v>7039</v>
      </c>
      <c r="D2143" t="s">
        <v>7040</v>
      </c>
      <c r="E2143" t="s">
        <v>2162</v>
      </c>
      <c r="F2143" t="s">
        <v>92</v>
      </c>
      <c r="G2143" t="s">
        <v>24</v>
      </c>
      <c r="H2143">
        <f>25411*(1.01^10)</f>
        <v>28069.552828824122</v>
      </c>
      <c r="I2143">
        <f>121628*(1.01^10)</f>
        <v>134352.97986951401</v>
      </c>
      <c r="J2143" t="s">
        <v>7041</v>
      </c>
      <c r="K2143">
        <f t="shared" si="33"/>
        <v>285.16368236977434</v>
      </c>
    </row>
    <row r="2144" spans="1:11" x14ac:dyDescent="0.2">
      <c r="A2144" t="s">
        <v>445</v>
      </c>
      <c r="B2144" t="s">
        <v>3118</v>
      </c>
      <c r="C2144" t="s">
        <v>7042</v>
      </c>
      <c r="D2144" t="s">
        <v>7043</v>
      </c>
      <c r="E2144" t="s">
        <v>168</v>
      </c>
      <c r="F2144" t="s">
        <v>12</v>
      </c>
      <c r="G2144" t="s">
        <v>24</v>
      </c>
      <c r="H2144">
        <f>24026*(1.01^10)</f>
        <v>26539.651185129605</v>
      </c>
      <c r="I2144">
        <f>134387*(1.01^10)</f>
        <v>148446.85356763558</v>
      </c>
      <c r="J2144" t="s">
        <v>7044</v>
      </c>
      <c r="K2144">
        <f t="shared" si="33"/>
        <v>840.6808191348465</v>
      </c>
    </row>
    <row r="2145" spans="1:11" x14ac:dyDescent="0.2">
      <c r="A2145" t="s">
        <v>445</v>
      </c>
      <c r="B2145" t="s">
        <v>3118</v>
      </c>
      <c r="C2145" t="s">
        <v>7045</v>
      </c>
      <c r="D2145" t="s">
        <v>7046</v>
      </c>
      <c r="E2145" t="s">
        <v>612</v>
      </c>
      <c r="F2145" t="s">
        <v>12</v>
      </c>
      <c r="G2145" t="s">
        <v>24</v>
      </c>
      <c r="H2145">
        <f>22989*(1.01^10)</f>
        <v>25394.158041078186</v>
      </c>
      <c r="I2145">
        <f>126604*(1.01^10)</f>
        <v>139849.57956556015</v>
      </c>
      <c r="J2145" t="s">
        <v>7047</v>
      </c>
      <c r="K2145">
        <f t="shared" si="33"/>
        <v>998.70477616535175</v>
      </c>
    </row>
    <row r="2146" spans="1:11" x14ac:dyDescent="0.2">
      <c r="A2146" t="s">
        <v>445</v>
      </c>
      <c r="B2146" t="s">
        <v>3118</v>
      </c>
      <c r="C2146" t="s">
        <v>7048</v>
      </c>
      <c r="D2146" t="s">
        <v>7049</v>
      </c>
      <c r="E2146" t="s">
        <v>313</v>
      </c>
      <c r="F2146" t="s">
        <v>12</v>
      </c>
      <c r="G2146" t="s">
        <v>24</v>
      </c>
      <c r="H2146">
        <f>15112*(1.01^10)</f>
        <v>16693.049559214127</v>
      </c>
      <c r="I2146">
        <f>78280*(1.01^10)</f>
        <v>86469.819977189109</v>
      </c>
      <c r="J2146" t="s">
        <v>7050</v>
      </c>
      <c r="K2146">
        <f t="shared" si="33"/>
        <v>755.90679867107838</v>
      </c>
    </row>
    <row r="2147" spans="1:11" x14ac:dyDescent="0.2">
      <c r="A2147" t="s">
        <v>445</v>
      </c>
      <c r="B2147" t="s">
        <v>3118</v>
      </c>
      <c r="C2147" t="s">
        <v>7051</v>
      </c>
      <c r="D2147" t="s">
        <v>7052</v>
      </c>
      <c r="E2147" t="s">
        <v>2777</v>
      </c>
      <c r="F2147" t="s">
        <v>17</v>
      </c>
      <c r="G2147" t="s">
        <v>24</v>
      </c>
      <c r="H2147">
        <f>23509*(1.01^10)</f>
        <v>25968.561546292014</v>
      </c>
      <c r="I2147">
        <f>111880*(1.01^10)</f>
        <v>123585.12339100559</v>
      </c>
      <c r="J2147" t="s">
        <v>7053</v>
      </c>
      <c r="K2147">
        <f t="shared" si="33"/>
        <v>240.51902195591205</v>
      </c>
    </row>
    <row r="2148" spans="1:11" x14ac:dyDescent="0.2">
      <c r="A2148" t="s">
        <v>445</v>
      </c>
      <c r="B2148" t="s">
        <v>3118</v>
      </c>
      <c r="C2148" t="s">
        <v>7054</v>
      </c>
      <c r="D2148" t="s">
        <v>7055</v>
      </c>
      <c r="E2148" t="s">
        <v>1227</v>
      </c>
      <c r="F2148" t="s">
        <v>382</v>
      </c>
      <c r="G2148" t="s">
        <v>152</v>
      </c>
      <c r="H2148">
        <f>50418*(1.01^10)</f>
        <v>55692.838318982118</v>
      </c>
      <c r="I2148">
        <f>239026*(1.01^10)</f>
        <v>264033.40814853861</v>
      </c>
      <c r="J2148" t="s">
        <v>7056</v>
      </c>
      <c r="K2148">
        <f t="shared" si="33"/>
        <v>412.87799943135002</v>
      </c>
    </row>
    <row r="2149" spans="1:11" x14ac:dyDescent="0.2">
      <c r="A2149" t="s">
        <v>445</v>
      </c>
      <c r="B2149" t="s">
        <v>3118</v>
      </c>
      <c r="C2149" t="s">
        <v>7057</v>
      </c>
      <c r="D2149" t="s">
        <v>7058</v>
      </c>
      <c r="E2149" t="s">
        <v>374</v>
      </c>
      <c r="F2149" t="s">
        <v>12</v>
      </c>
      <c r="G2149" t="s">
        <v>17</v>
      </c>
      <c r="H2149">
        <f>10564*(1.01^10)</f>
        <v>11669.228132843968</v>
      </c>
      <c r="I2149">
        <f>48227*(1.01^10)</f>
        <v>53272.611242206171</v>
      </c>
      <c r="J2149" t="s">
        <v>7059</v>
      </c>
      <c r="K2149">
        <f t="shared" si="33"/>
        <v>585.01397148355932</v>
      </c>
    </row>
    <row r="2150" spans="1:11" x14ac:dyDescent="0.2">
      <c r="A2150" t="s">
        <v>445</v>
      </c>
      <c r="B2150" t="s">
        <v>517</v>
      </c>
      <c r="C2150" t="s">
        <v>7060</v>
      </c>
      <c r="D2150" t="s">
        <v>7061</v>
      </c>
      <c r="E2150" t="s">
        <v>445</v>
      </c>
      <c r="F2150" t="s">
        <v>11</v>
      </c>
      <c r="G2150" t="s">
        <v>92</v>
      </c>
      <c r="H2150">
        <f>14642*(1.01^10)</f>
        <v>16173.87716027086</v>
      </c>
      <c r="I2150">
        <f>64247*(1.01^10)</f>
        <v>70968.657691293673</v>
      </c>
      <c r="J2150" t="s">
        <v>7062</v>
      </c>
      <c r="K2150">
        <f t="shared" si="33"/>
        <v>501.34910003485669</v>
      </c>
    </row>
    <row r="2151" spans="1:11" x14ac:dyDescent="0.2">
      <c r="A2151" t="s">
        <v>445</v>
      </c>
      <c r="B2151" t="s">
        <v>517</v>
      </c>
      <c r="C2151" t="s">
        <v>7057</v>
      </c>
      <c r="D2151" t="s">
        <v>7058</v>
      </c>
      <c r="E2151" t="s">
        <v>92</v>
      </c>
      <c r="F2151" t="s">
        <v>24</v>
      </c>
      <c r="G2151" t="s">
        <v>17</v>
      </c>
      <c r="H2151">
        <f>6482*(1.01^10)</f>
        <v>7160.1606169154293</v>
      </c>
      <c r="I2151">
        <f>28400*(1.01^10)</f>
        <v>31371.268361678216</v>
      </c>
      <c r="J2151" t="s">
        <v>7063</v>
      </c>
      <c r="K2151">
        <f t="shared" si="33"/>
        <v>932.50333098844089</v>
      </c>
    </row>
    <row r="2152" spans="1:11" x14ac:dyDescent="0.2">
      <c r="A2152" t="s">
        <v>445</v>
      </c>
      <c r="B2152" t="s">
        <v>517</v>
      </c>
      <c r="C2152" t="s">
        <v>7064</v>
      </c>
      <c r="D2152" t="s">
        <v>7065</v>
      </c>
      <c r="E2152" t="s">
        <v>24</v>
      </c>
      <c r="F2152" t="s">
        <v>24</v>
      </c>
      <c r="G2152" t="s">
        <v>12</v>
      </c>
      <c r="H2152">
        <f>100947*(1.01^10)</f>
        <v>111508.28969388489</v>
      </c>
      <c r="I2152">
        <f>433771*(1.01^10)</f>
        <v>479153.04396174371</v>
      </c>
      <c r="J2152" t="s">
        <v>7066</v>
      </c>
      <c r="K2152">
        <f t="shared" si="33"/>
        <v>4797.7675374160781</v>
      </c>
    </row>
    <row r="2153" spans="1:11" x14ac:dyDescent="0.2">
      <c r="A2153" t="s">
        <v>445</v>
      </c>
      <c r="B2153" t="s">
        <v>517</v>
      </c>
      <c r="C2153" t="s">
        <v>7067</v>
      </c>
      <c r="D2153" t="s">
        <v>7068</v>
      </c>
      <c r="E2153" t="s">
        <v>92</v>
      </c>
      <c r="F2153" t="s">
        <v>24</v>
      </c>
      <c r="G2153" t="s">
        <v>24</v>
      </c>
      <c r="H2153">
        <f>131101*(1.01^10)</f>
        <v>144817.06526353434</v>
      </c>
      <c r="I2153">
        <f>534872*(1.01^10)</f>
        <v>590831.44546294189</v>
      </c>
      <c r="J2153" t="s">
        <v>7069</v>
      </c>
      <c r="K2153">
        <f t="shared" si="33"/>
        <v>4599.341783146052</v>
      </c>
    </row>
    <row r="2154" spans="1:11" x14ac:dyDescent="0.2">
      <c r="A2154" t="s">
        <v>445</v>
      </c>
      <c r="B2154" t="s">
        <v>517</v>
      </c>
      <c r="C2154" t="s">
        <v>7070</v>
      </c>
      <c r="D2154" t="s">
        <v>7071</v>
      </c>
      <c r="E2154" t="s">
        <v>2777</v>
      </c>
      <c r="F2154" t="s">
        <v>5</v>
      </c>
      <c r="G2154" t="s">
        <v>11</v>
      </c>
      <c r="H2154">
        <f>29840*(1.01^10)</f>
        <v>32961.924222270347</v>
      </c>
      <c r="I2154">
        <f>143371*(1.01^10)</f>
        <v>158370.77874232983</v>
      </c>
      <c r="J2154" t="s">
        <v>7072</v>
      </c>
      <c r="K2154">
        <f t="shared" si="33"/>
        <v>393.95839221198162</v>
      </c>
    </row>
    <row r="2155" spans="1:11" x14ac:dyDescent="0.2">
      <c r="A2155" t="s">
        <v>445</v>
      </c>
      <c r="B2155" t="s">
        <v>517</v>
      </c>
      <c r="C2155" t="s">
        <v>7073</v>
      </c>
      <c r="D2155" t="s">
        <v>7074</v>
      </c>
      <c r="E2155" t="s">
        <v>142</v>
      </c>
      <c r="F2155" t="s">
        <v>92</v>
      </c>
      <c r="G2155" t="s">
        <v>12</v>
      </c>
      <c r="H2155">
        <f>10100*(1.01^10)</f>
        <v>11156.683466653169</v>
      </c>
      <c r="I2155">
        <f>49277*(1.01^10)</f>
        <v>54432.464473887936</v>
      </c>
      <c r="J2155" t="s">
        <v>7075</v>
      </c>
      <c r="K2155">
        <f t="shared" si="33"/>
        <v>364.15931800416814</v>
      </c>
    </row>
    <row r="2156" spans="1:11" x14ac:dyDescent="0.2">
      <c r="A2156" t="s">
        <v>445</v>
      </c>
      <c r="B2156" t="s">
        <v>3238</v>
      </c>
      <c r="C2156" t="s">
        <v>7076</v>
      </c>
      <c r="D2156" t="s">
        <v>7077</v>
      </c>
      <c r="E2156" t="s">
        <v>92</v>
      </c>
      <c r="F2156" t="s">
        <v>24</v>
      </c>
      <c r="G2156" t="s">
        <v>24</v>
      </c>
      <c r="H2156">
        <f>2806*(1.01^10)</f>
        <v>3099.5696839038405</v>
      </c>
      <c r="I2156">
        <f>13642*(1.01^10)</f>
        <v>15069.255034859656</v>
      </c>
      <c r="J2156" t="s">
        <v>7078</v>
      </c>
      <c r="K2156">
        <f t="shared" si="33"/>
        <v>791.04301744385464</v>
      </c>
    </row>
    <row r="2157" spans="1:11" x14ac:dyDescent="0.2">
      <c r="A2157" t="s">
        <v>445</v>
      </c>
      <c r="B2157" t="s">
        <v>3238</v>
      </c>
      <c r="C2157" t="s">
        <v>7079</v>
      </c>
      <c r="D2157" t="s">
        <v>7080</v>
      </c>
      <c r="E2157" t="s">
        <v>56</v>
      </c>
      <c r="F2157" t="s">
        <v>24</v>
      </c>
      <c r="G2157" t="s">
        <v>12</v>
      </c>
      <c r="H2157">
        <f>14472*(1.01^10)</f>
        <v>15986.091398950955</v>
      </c>
      <c r="I2157">
        <f>67656*(1.01^10)</f>
        <v>74734.314516820465</v>
      </c>
      <c r="J2157" t="s">
        <v>7081</v>
      </c>
      <c r="K2157">
        <f t="shared" si="33"/>
        <v>783.26497144873679</v>
      </c>
    </row>
    <row r="2158" spans="1:11" x14ac:dyDescent="0.2">
      <c r="A2158" t="s">
        <v>445</v>
      </c>
      <c r="B2158" t="s">
        <v>3238</v>
      </c>
      <c r="C2158" t="s">
        <v>7082</v>
      </c>
      <c r="D2158" t="s">
        <v>7083</v>
      </c>
      <c r="E2158" t="s">
        <v>23</v>
      </c>
      <c r="F2158" t="s">
        <v>24</v>
      </c>
      <c r="G2158" t="s">
        <v>92</v>
      </c>
      <c r="H2158">
        <f>26113*(1.01^10)</f>
        <v>28844.99756086279</v>
      </c>
      <c r="I2158">
        <f>127252*(1.01^10)</f>
        <v>140565.37470282664</v>
      </c>
      <c r="J2158" t="s">
        <v>7084</v>
      </c>
      <c r="K2158">
        <f t="shared" si="33"/>
        <v>989.20365046451934</v>
      </c>
    </row>
    <row r="2159" spans="1:11" x14ac:dyDescent="0.2">
      <c r="A2159" t="s">
        <v>445</v>
      </c>
      <c r="B2159" t="s">
        <v>3238</v>
      </c>
      <c r="C2159" t="s">
        <v>7085</v>
      </c>
      <c r="D2159" t="s">
        <v>7086</v>
      </c>
      <c r="E2159" t="s">
        <v>1912</v>
      </c>
      <c r="F2159" t="s">
        <v>24</v>
      </c>
      <c r="G2159" t="s">
        <v>24</v>
      </c>
      <c r="H2159">
        <f>38037*(1.01^10)</f>
        <v>42016.511784265997</v>
      </c>
      <c r="I2159">
        <f>202196*(1.01^10)</f>
        <v>223350.17526964395</v>
      </c>
      <c r="J2159" t="s">
        <v>7087</v>
      </c>
      <c r="K2159">
        <f t="shared" si="33"/>
        <v>599.30314579798517</v>
      </c>
    </row>
    <row r="2160" spans="1:11" x14ac:dyDescent="0.2">
      <c r="A2160" t="s">
        <v>445</v>
      </c>
      <c r="B2160" t="s">
        <v>3238</v>
      </c>
      <c r="C2160" t="s">
        <v>7088</v>
      </c>
      <c r="D2160" t="s">
        <v>7089</v>
      </c>
      <c r="E2160" t="s">
        <v>612</v>
      </c>
      <c r="F2160" t="s">
        <v>24</v>
      </c>
      <c r="G2160" t="s">
        <v>12</v>
      </c>
      <c r="H2160">
        <f>13494*(1.01^10)</f>
        <v>14905.770960298796</v>
      </c>
      <c r="I2160">
        <f>67544*(1.01^10)</f>
        <v>74610.596838774407</v>
      </c>
      <c r="J2160" t="s">
        <v>7090</v>
      </c>
      <c r="K2160">
        <f t="shared" si="33"/>
        <v>761.1132598637929</v>
      </c>
    </row>
    <row r="2161" spans="1:11" x14ac:dyDescent="0.2">
      <c r="A2161" t="s">
        <v>445</v>
      </c>
      <c r="B2161" t="s">
        <v>3238</v>
      </c>
      <c r="C2161" t="s">
        <v>7091</v>
      </c>
      <c r="D2161" t="s">
        <v>7092</v>
      </c>
      <c r="E2161" t="s">
        <v>1195</v>
      </c>
      <c r="F2161" t="s">
        <v>12</v>
      </c>
      <c r="G2161" t="s">
        <v>5</v>
      </c>
      <c r="H2161">
        <f>32257*(1.01^10)</f>
        <v>35631.795899389232</v>
      </c>
      <c r="I2161">
        <f>154826*(1.01^10)</f>
        <v>171024.22518891518</v>
      </c>
      <c r="J2161" t="s">
        <v>7093</v>
      </c>
      <c r="K2161">
        <f t="shared" si="33"/>
        <v>1326.2586300445653</v>
      </c>
    </row>
    <row r="2162" spans="1:11" x14ac:dyDescent="0.2">
      <c r="A2162" t="s">
        <v>445</v>
      </c>
      <c r="B2162" t="s">
        <v>3238</v>
      </c>
      <c r="C2162" t="s">
        <v>7094</v>
      </c>
      <c r="D2162" t="s">
        <v>7095</v>
      </c>
      <c r="E2162" t="s">
        <v>61</v>
      </c>
      <c r="F2162" t="s">
        <v>24</v>
      </c>
      <c r="G2162" t="s">
        <v>24</v>
      </c>
      <c r="H2162">
        <f>8228*(1.01^10)</f>
        <v>9088.8308478833933</v>
      </c>
      <c r="I2162">
        <f>40559*(1.01^10)</f>
        <v>44802.368784553051</v>
      </c>
      <c r="J2162" t="s">
        <v>7096</v>
      </c>
      <c r="K2162">
        <f t="shared" si="33"/>
        <v>835.81694151225724</v>
      </c>
    </row>
    <row r="2163" spans="1:11" x14ac:dyDescent="0.2">
      <c r="A2163" t="s">
        <v>445</v>
      </c>
      <c r="B2163" t="s">
        <v>3238</v>
      </c>
      <c r="C2163" t="s">
        <v>7097</v>
      </c>
      <c r="D2163" t="s">
        <v>7098</v>
      </c>
      <c r="E2163" t="s">
        <v>498</v>
      </c>
      <c r="F2163" t="s">
        <v>24</v>
      </c>
      <c r="G2163" t="s">
        <v>24</v>
      </c>
      <c r="H2163">
        <f>18305*(1.01^10)</f>
        <v>20220.108005652102</v>
      </c>
      <c r="I2163">
        <f>90376*(1.01^10)</f>
        <v>99831.329206163035</v>
      </c>
      <c r="J2163" t="s">
        <v>7099</v>
      </c>
      <c r="K2163">
        <f t="shared" si="33"/>
        <v>760.57468217656128</v>
      </c>
    </row>
    <row r="2164" spans="1:11" x14ac:dyDescent="0.2">
      <c r="A2164" t="s">
        <v>445</v>
      </c>
      <c r="B2164" t="s">
        <v>3238</v>
      </c>
      <c r="C2164" t="s">
        <v>7100</v>
      </c>
      <c r="D2164" t="s">
        <v>7101</v>
      </c>
      <c r="E2164" t="s">
        <v>17</v>
      </c>
      <c r="F2164" t="s">
        <v>24</v>
      </c>
      <c r="G2164" t="s">
        <v>24</v>
      </c>
      <c r="H2164">
        <f>1536*(1.01^10)</f>
        <v>1696.6995846316104</v>
      </c>
      <c r="I2164">
        <f>7588*(1.01^10)</f>
        <v>8381.8726876202218</v>
      </c>
      <c r="J2164" t="s">
        <v>7102</v>
      </c>
      <c r="K2164">
        <f t="shared" si="33"/>
        <v>768.12239672044893</v>
      </c>
    </row>
    <row r="2165" spans="1:11" x14ac:dyDescent="0.2">
      <c r="A2165" t="s">
        <v>445</v>
      </c>
      <c r="B2165" t="s">
        <v>1378</v>
      </c>
      <c r="C2165" t="s">
        <v>6719</v>
      </c>
      <c r="D2165" t="s">
        <v>6720</v>
      </c>
      <c r="E2165" t="s">
        <v>324</v>
      </c>
      <c r="F2165" t="s">
        <v>92</v>
      </c>
      <c r="G2165" t="s">
        <v>12</v>
      </c>
      <c r="H2165">
        <f>28275*(1.01^10)</f>
        <v>31233.190596001816</v>
      </c>
      <c r="I2165">
        <f>139149*(1.01^10)</f>
        <v>153707.06412884372</v>
      </c>
      <c r="J2165" t="s">
        <v>7103</v>
      </c>
      <c r="K2165">
        <f t="shared" si="33"/>
        <v>417.2590964722234</v>
      </c>
    </row>
    <row r="2166" spans="1:11" x14ac:dyDescent="0.2">
      <c r="A2166" t="s">
        <v>445</v>
      </c>
      <c r="B2166" t="s">
        <v>1378</v>
      </c>
      <c r="C2166" t="s">
        <v>6737</v>
      </c>
      <c r="D2166" t="s">
        <v>6738</v>
      </c>
      <c r="E2166" t="s">
        <v>17</v>
      </c>
      <c r="F2166" t="s">
        <v>24</v>
      </c>
      <c r="G2166" t="s">
        <v>24</v>
      </c>
      <c r="H2166">
        <f>648*(1.01^10)</f>
        <v>715.79513726646064</v>
      </c>
      <c r="I2166">
        <f>2994*(1.01^10)</f>
        <v>3307.2386434811469</v>
      </c>
      <c r="J2166" t="s">
        <v>7105</v>
      </c>
      <c r="K2166">
        <f t="shared" si="33"/>
        <v>3758.225731228576</v>
      </c>
    </row>
    <row r="2167" spans="1:11" x14ac:dyDescent="0.2">
      <c r="A2167" t="s">
        <v>445</v>
      </c>
      <c r="B2167" t="s">
        <v>1378</v>
      </c>
      <c r="C2167" t="s">
        <v>6740</v>
      </c>
      <c r="D2167" t="s">
        <v>6741</v>
      </c>
      <c r="E2167" t="s">
        <v>1580</v>
      </c>
      <c r="F2167" t="s">
        <v>24</v>
      </c>
      <c r="G2167" t="s">
        <v>24</v>
      </c>
      <c r="H2167">
        <f>11332*(1.01^10)</f>
        <v>12517.577925159772</v>
      </c>
      <c r="I2167">
        <f>55011*(1.01^10)</f>
        <v>60766.367740995782</v>
      </c>
      <c r="J2167" t="s">
        <v>7106</v>
      </c>
      <c r="K2167">
        <f t="shared" si="33"/>
        <v>224.6606272274604</v>
      </c>
    </row>
    <row r="2168" spans="1:11" x14ac:dyDescent="0.2">
      <c r="A2168" t="s">
        <v>445</v>
      </c>
      <c r="B2168" t="s">
        <v>1378</v>
      </c>
      <c r="C2168" t="s">
        <v>6743</v>
      </c>
      <c r="D2168" t="s">
        <v>6744</v>
      </c>
      <c r="E2168" t="s">
        <v>542</v>
      </c>
      <c r="F2168" t="s">
        <v>92</v>
      </c>
      <c r="G2168" t="s">
        <v>24</v>
      </c>
      <c r="H2168">
        <f>17125*(1.01^10)</f>
        <v>18916.653897666882</v>
      </c>
      <c r="I2168">
        <f>81979*(1.01^10)</f>
        <v>90555.817219085147</v>
      </c>
      <c r="J2168" t="s">
        <v>7107</v>
      </c>
      <c r="K2168">
        <f t="shared" si="33"/>
        <v>307.68864370045935</v>
      </c>
    </row>
    <row r="2169" spans="1:11" x14ac:dyDescent="0.2">
      <c r="A2169" t="s">
        <v>445</v>
      </c>
      <c r="B2169" t="s">
        <v>1378</v>
      </c>
      <c r="C2169" t="s">
        <v>7024</v>
      </c>
      <c r="D2169" t="s">
        <v>7025</v>
      </c>
      <c r="E2169" t="s">
        <v>589</v>
      </c>
      <c r="F2169" t="s">
        <v>24</v>
      </c>
      <c r="G2169" t="s">
        <v>12</v>
      </c>
      <c r="H2169">
        <f>30439*(1.01^10)</f>
        <v>33623.59287539166</v>
      </c>
      <c r="I2169">
        <f>153747*(1.01^10)</f>
        <v>169832.33791559649</v>
      </c>
      <c r="J2169" t="s">
        <v>7108</v>
      </c>
      <c r="K2169">
        <f t="shared" si="33"/>
        <v>744.22809107085084</v>
      </c>
    </row>
    <row r="2170" spans="1:11" x14ac:dyDescent="0.2">
      <c r="A2170" t="s">
        <v>445</v>
      </c>
      <c r="B2170" t="s">
        <v>1378</v>
      </c>
      <c r="C2170" t="s">
        <v>7027</v>
      </c>
      <c r="D2170" t="s">
        <v>7028</v>
      </c>
      <c r="E2170" t="s">
        <v>158</v>
      </c>
      <c r="F2170" t="s">
        <v>24</v>
      </c>
      <c r="G2170" t="s">
        <v>24</v>
      </c>
      <c r="H2170">
        <f>2704*(1.01^10)</f>
        <v>2986.8982271118975</v>
      </c>
      <c r="I2170">
        <f>14357*(1.01^10)</f>
        <v>15859.059854528667</v>
      </c>
      <c r="J2170" t="s">
        <v>7109</v>
      </c>
      <c r="K2170">
        <f t="shared" si="33"/>
        <v>7865.9904614063198</v>
      </c>
    </row>
    <row r="2171" spans="1:11" x14ac:dyDescent="0.2">
      <c r="A2171" t="s">
        <v>445</v>
      </c>
      <c r="B2171" t="s">
        <v>1378</v>
      </c>
      <c r="C2171" t="s">
        <v>7076</v>
      </c>
      <c r="D2171" t="s">
        <v>7077</v>
      </c>
      <c r="E2171" t="s">
        <v>72</v>
      </c>
      <c r="F2171" t="s">
        <v>24</v>
      </c>
      <c r="G2171" t="s">
        <v>24</v>
      </c>
      <c r="H2171">
        <f>10238*(1.01^10)</f>
        <v>11309.121319959913</v>
      </c>
      <c r="I2171">
        <f>49715*(1.01^10)</f>
        <v>54916.288964818043</v>
      </c>
      <c r="J2171" t="s">
        <v>7110</v>
      </c>
      <c r="K2171">
        <f t="shared" si="33"/>
        <v>568.65207355254745</v>
      </c>
    </row>
    <row r="2172" spans="1:11" x14ac:dyDescent="0.2">
      <c r="A2172" t="s">
        <v>445</v>
      </c>
      <c r="B2172" t="s">
        <v>1378</v>
      </c>
      <c r="C2172" t="s">
        <v>7079</v>
      </c>
      <c r="D2172" t="s">
        <v>7080</v>
      </c>
      <c r="E2172" t="s">
        <v>108</v>
      </c>
      <c r="F2172" t="s">
        <v>24</v>
      </c>
      <c r="G2172" t="s">
        <v>24</v>
      </c>
      <c r="H2172">
        <f>3690*(1.01^10)</f>
        <v>4076.0556427673455</v>
      </c>
      <c r="I2172">
        <f>17508*(1.01^10)</f>
        <v>19339.724171699374</v>
      </c>
      <c r="J2172" t="s">
        <v>7111</v>
      </c>
      <c r="K2172">
        <f t="shared" si="33"/>
        <v>540.18444615526619</v>
      </c>
    </row>
    <row r="2173" spans="1:11" x14ac:dyDescent="0.2">
      <c r="A2173" t="s">
        <v>445</v>
      </c>
      <c r="B2173" t="s">
        <v>1378</v>
      </c>
      <c r="C2173" t="s">
        <v>7097</v>
      </c>
      <c r="D2173" t="s">
        <v>7098</v>
      </c>
      <c r="E2173" t="s">
        <v>11</v>
      </c>
      <c r="F2173" t="s">
        <v>24</v>
      </c>
      <c r="G2173" t="s">
        <v>24</v>
      </c>
      <c r="H2173">
        <f>738*(1.01^10)</f>
        <v>815.21112855346905</v>
      </c>
      <c r="I2173">
        <f>3652*(1.01^10)</f>
        <v>4034.0800020017195</v>
      </c>
      <c r="J2173" t="s">
        <v>7112</v>
      </c>
      <c r="K2173">
        <f t="shared" si="33"/>
        <v>553.00417908650854</v>
      </c>
    </row>
    <row r="2174" spans="1:11" x14ac:dyDescent="0.2">
      <c r="A2174" t="s">
        <v>445</v>
      </c>
      <c r="B2174" t="s">
        <v>1378</v>
      </c>
      <c r="C2174" t="s">
        <v>7113</v>
      </c>
      <c r="D2174" t="s">
        <v>7114</v>
      </c>
      <c r="E2174" t="s">
        <v>879</v>
      </c>
      <c r="F2174" t="s">
        <v>12</v>
      </c>
      <c r="G2174" t="s">
        <v>24</v>
      </c>
      <c r="H2174">
        <f>25444*(1.01^10)</f>
        <v>28106.005358962695</v>
      </c>
      <c r="I2174">
        <f>124585*(1.01^10)</f>
        <v>137619.34749435494</v>
      </c>
      <c r="J2174" t="s">
        <v>7115</v>
      </c>
      <c r="K2174">
        <f t="shared" si="33"/>
        <v>461.02114532102291</v>
      </c>
    </row>
    <row r="2175" spans="1:11" x14ac:dyDescent="0.2">
      <c r="A2175" t="s">
        <v>445</v>
      </c>
      <c r="B2175" t="s">
        <v>1378</v>
      </c>
      <c r="C2175" t="s">
        <v>7100</v>
      </c>
      <c r="D2175" t="s">
        <v>7101</v>
      </c>
      <c r="E2175" t="s">
        <v>674</v>
      </c>
      <c r="F2175" t="s">
        <v>24</v>
      </c>
      <c r="G2175" t="s">
        <v>24</v>
      </c>
      <c r="H2175">
        <f>13782*(1.01^10)</f>
        <v>15223.902132417224</v>
      </c>
      <c r="I2175">
        <f>69741*(1.01^10)</f>
        <v>77037.451648302827</v>
      </c>
      <c r="J2175" t="s">
        <v>7116</v>
      </c>
      <c r="K2175">
        <f t="shared" si="33"/>
        <v>394.15917772706331</v>
      </c>
    </row>
    <row r="2176" spans="1:11" x14ac:dyDescent="0.2">
      <c r="A2176" t="s">
        <v>445</v>
      </c>
      <c r="B2176" t="s">
        <v>1378</v>
      </c>
      <c r="C2176" t="s">
        <v>7117</v>
      </c>
      <c r="D2176" t="s">
        <v>7118</v>
      </c>
      <c r="E2176" t="s">
        <v>971</v>
      </c>
      <c r="F2176" t="s">
        <v>24</v>
      </c>
      <c r="G2176" t="s">
        <v>24</v>
      </c>
      <c r="H2176">
        <f>46802*(1.01^10)</f>
        <v>51698.524713495208</v>
      </c>
      <c r="I2176">
        <f>235403*(1.01^10)</f>
        <v>260031.36218817384</v>
      </c>
      <c r="J2176" t="s">
        <v>7119</v>
      </c>
      <c r="K2176">
        <f t="shared" si="33"/>
        <v>396.2138988734888</v>
      </c>
    </row>
    <row r="2177" spans="1:11" x14ac:dyDescent="0.2">
      <c r="A2177" t="s">
        <v>445</v>
      </c>
      <c r="B2177" t="s">
        <v>1378</v>
      </c>
      <c r="C2177" t="s">
        <v>7120</v>
      </c>
      <c r="D2177" t="s">
        <v>7121</v>
      </c>
      <c r="E2177" t="s">
        <v>12</v>
      </c>
      <c r="F2177" t="s">
        <v>24</v>
      </c>
      <c r="G2177" t="s">
        <v>24</v>
      </c>
      <c r="H2177">
        <f>484*(1.01^10)</f>
        <v>534.63710869902309</v>
      </c>
      <c r="I2177">
        <f>2234*(1.01^10)</f>
        <v>2467.7258281686313</v>
      </c>
      <c r="J2177" t="s">
        <v>7122</v>
      </c>
      <c r="K2177">
        <f t="shared" si="33"/>
        <v>873.82379582084639</v>
      </c>
    </row>
    <row r="2178" spans="1:11" x14ac:dyDescent="0.2">
      <c r="A2178" t="s">
        <v>445</v>
      </c>
      <c r="B2178" t="s">
        <v>712</v>
      </c>
      <c r="C2178" t="s">
        <v>7123</v>
      </c>
      <c r="D2178" t="s">
        <v>7124</v>
      </c>
      <c r="E2178" t="s">
        <v>6</v>
      </c>
      <c r="F2178" t="s">
        <v>24</v>
      </c>
      <c r="G2178" t="s">
        <v>24</v>
      </c>
      <c r="H2178">
        <f>1918*(1.01^10)</f>
        <v>2118.6652365386908</v>
      </c>
      <c r="I2178">
        <f>8398*(1.01^10)</f>
        <v>9276.6166092032981</v>
      </c>
      <c r="J2178" t="s">
        <v>7125</v>
      </c>
      <c r="K2178">
        <f t="shared" si="33"/>
        <v>455.35831583008729</v>
      </c>
    </row>
    <row r="2179" spans="1:11" x14ac:dyDescent="0.2">
      <c r="A2179" t="s">
        <v>445</v>
      </c>
      <c r="B2179" t="s">
        <v>712</v>
      </c>
      <c r="C2179" t="s">
        <v>7120</v>
      </c>
      <c r="D2179" t="s">
        <v>7121</v>
      </c>
      <c r="E2179" t="s">
        <v>498</v>
      </c>
      <c r="F2179" t="s">
        <v>24</v>
      </c>
      <c r="G2179" t="s">
        <v>24</v>
      </c>
      <c r="H2179">
        <f>21001*(1.01^10)</f>
        <v>23198.169255760709</v>
      </c>
      <c r="I2179">
        <f>95338*(1.01^10)</f>
        <v>105312.46419245344</v>
      </c>
      <c r="J2179" t="s">
        <v>7126</v>
      </c>
      <c r="K2179">
        <f t="shared" ref="K2179:K2242" si="34">I2179/J2179</f>
        <v>586.61884513589098</v>
      </c>
    </row>
    <row r="2180" spans="1:11" x14ac:dyDescent="0.2">
      <c r="A2180" t="s">
        <v>445</v>
      </c>
      <c r="B2180" t="s">
        <v>712</v>
      </c>
      <c r="C2180" t="s">
        <v>7127</v>
      </c>
      <c r="D2180" t="s">
        <v>7128</v>
      </c>
      <c r="E2180" t="s">
        <v>287</v>
      </c>
      <c r="F2180" t="s">
        <v>12</v>
      </c>
      <c r="G2180" t="s">
        <v>24</v>
      </c>
      <c r="H2180">
        <f>25546*(1.01^10)</f>
        <v>28218.676815754636</v>
      </c>
      <c r="I2180">
        <f>123498*(1.01^10)</f>
        <v>136418.62324403296</v>
      </c>
      <c r="J2180" t="s">
        <v>7129</v>
      </c>
      <c r="K2180">
        <f t="shared" si="34"/>
        <v>442.89876566681579</v>
      </c>
    </row>
    <row r="2181" spans="1:11" x14ac:dyDescent="0.2">
      <c r="A2181" t="s">
        <v>445</v>
      </c>
      <c r="B2181" t="s">
        <v>712</v>
      </c>
      <c r="C2181" t="s">
        <v>7130</v>
      </c>
      <c r="D2181" t="s">
        <v>7131</v>
      </c>
      <c r="E2181" t="s">
        <v>58</v>
      </c>
      <c r="F2181" t="s">
        <v>5</v>
      </c>
      <c r="G2181" t="s">
        <v>17</v>
      </c>
      <c r="H2181">
        <f>42840*(1.01^10)</f>
        <v>47322.011852616015</v>
      </c>
      <c r="I2181">
        <f>202435*(1.01^10)</f>
        <v>223614.17995761722</v>
      </c>
      <c r="J2181" t="s">
        <v>7132</v>
      </c>
      <c r="K2181">
        <f t="shared" si="34"/>
        <v>569.13347896679647</v>
      </c>
    </row>
    <row r="2182" spans="1:11" x14ac:dyDescent="0.2">
      <c r="A2182" t="s">
        <v>445</v>
      </c>
      <c r="B2182" t="s">
        <v>712</v>
      </c>
      <c r="C2182" t="s">
        <v>7133</v>
      </c>
      <c r="D2182" t="s">
        <v>7134</v>
      </c>
      <c r="E2182" t="s">
        <v>77</v>
      </c>
      <c r="F2182" t="s">
        <v>24</v>
      </c>
      <c r="G2182" t="s">
        <v>24</v>
      </c>
      <c r="H2182">
        <f>5500*(1.01^10)</f>
        <v>6075.4216897616261</v>
      </c>
      <c r="I2182">
        <f>25246*(1.01^10)</f>
        <v>27887.290178131276</v>
      </c>
      <c r="J2182" t="s">
        <v>7135</v>
      </c>
      <c r="K2182">
        <f t="shared" si="34"/>
        <v>464.41655837961883</v>
      </c>
    </row>
    <row r="2183" spans="1:11" x14ac:dyDescent="0.2">
      <c r="A2183" t="s">
        <v>445</v>
      </c>
      <c r="B2183" t="s">
        <v>712</v>
      </c>
      <c r="C2183" t="s">
        <v>7136</v>
      </c>
      <c r="D2183" t="s">
        <v>7137</v>
      </c>
      <c r="E2183" t="s">
        <v>689</v>
      </c>
      <c r="F2183" t="s">
        <v>5</v>
      </c>
      <c r="G2183" t="s">
        <v>12</v>
      </c>
      <c r="H2183">
        <f>90978*(1.01^10)</f>
        <v>100496.31172566059</v>
      </c>
      <c r="I2183">
        <f>473585*(1.01^10)</f>
        <v>523132.46926286537</v>
      </c>
      <c r="J2183" t="s">
        <v>7138</v>
      </c>
      <c r="K2183">
        <f t="shared" si="34"/>
        <v>838.16611103856746</v>
      </c>
    </row>
    <row r="2184" spans="1:11" x14ac:dyDescent="0.2">
      <c r="A2184" t="s">
        <v>445</v>
      </c>
      <c r="B2184" t="s">
        <v>2959</v>
      </c>
      <c r="C2184" t="s">
        <v>7123</v>
      </c>
      <c r="D2184" t="s">
        <v>7124</v>
      </c>
      <c r="E2184" t="s">
        <v>498</v>
      </c>
      <c r="F2184" t="s">
        <v>24</v>
      </c>
      <c r="G2184" t="s">
        <v>24</v>
      </c>
      <c r="H2184">
        <f>16842*(1.01^10)</f>
        <v>18604.045836175512</v>
      </c>
      <c r="I2184">
        <f>81209*(1.01^10)</f>
        <v>89705.258182518533</v>
      </c>
      <c r="J2184" t="s">
        <v>7139</v>
      </c>
      <c r="K2184">
        <f t="shared" si="34"/>
        <v>524.56842478772523</v>
      </c>
    </row>
    <row r="2185" spans="1:11" x14ac:dyDescent="0.2">
      <c r="A2185" t="s">
        <v>445</v>
      </c>
      <c r="B2185" t="s">
        <v>2959</v>
      </c>
      <c r="C2185" t="s">
        <v>7120</v>
      </c>
      <c r="D2185" t="s">
        <v>7121</v>
      </c>
      <c r="E2185" t="s">
        <v>12</v>
      </c>
      <c r="F2185" t="s">
        <v>24</v>
      </c>
      <c r="G2185" t="s">
        <v>24</v>
      </c>
      <c r="H2185">
        <f>235*(1.01^10)</f>
        <v>259.58619947163311</v>
      </c>
      <c r="I2185">
        <f>1008*(1.01^10)</f>
        <v>1113.4591024144943</v>
      </c>
      <c r="J2185" t="s">
        <v>7140</v>
      </c>
      <c r="K2185">
        <f t="shared" si="34"/>
        <v>821.78459140155394</v>
      </c>
    </row>
    <row r="2186" spans="1:11" x14ac:dyDescent="0.2">
      <c r="A2186" t="s">
        <v>445</v>
      </c>
      <c r="B2186" t="s">
        <v>2959</v>
      </c>
      <c r="C2186" t="s">
        <v>7130</v>
      </c>
      <c r="D2186" t="s">
        <v>7131</v>
      </c>
      <c r="E2186" t="s">
        <v>158</v>
      </c>
      <c r="F2186" t="s">
        <v>24</v>
      </c>
      <c r="G2186" t="s">
        <v>24</v>
      </c>
      <c r="H2186">
        <f>1022*(1.01^10)</f>
        <v>1128.9238121702513</v>
      </c>
      <c r="I2186">
        <f>4799*(1.01^10)</f>
        <v>5301.0815798483718</v>
      </c>
      <c r="J2186" t="s">
        <v>7141</v>
      </c>
      <c r="K2186">
        <f t="shared" si="34"/>
        <v>158.4524401890522</v>
      </c>
    </row>
    <row r="2187" spans="1:11" x14ac:dyDescent="0.2">
      <c r="A2187" t="s">
        <v>445</v>
      </c>
      <c r="B2187" t="s">
        <v>2959</v>
      </c>
      <c r="C2187" t="s">
        <v>7133</v>
      </c>
      <c r="D2187" t="s">
        <v>7134</v>
      </c>
      <c r="E2187" t="s">
        <v>168</v>
      </c>
      <c r="F2187" t="s">
        <v>24</v>
      </c>
      <c r="G2187" t="s">
        <v>12</v>
      </c>
      <c r="H2187">
        <f>17710*(1.01^10)</f>
        <v>19562.857841032437</v>
      </c>
      <c r="I2187">
        <f>85616*(1.01^10)</f>
        <v>94573.327889205699</v>
      </c>
      <c r="J2187" t="s">
        <v>7142</v>
      </c>
      <c r="K2187">
        <f t="shared" si="34"/>
        <v>569.86419188004231</v>
      </c>
    </row>
    <row r="2188" spans="1:11" x14ac:dyDescent="0.2">
      <c r="A2188" t="s">
        <v>445</v>
      </c>
      <c r="B2188" t="s">
        <v>2959</v>
      </c>
      <c r="C2188" t="s">
        <v>7136</v>
      </c>
      <c r="D2188" t="s">
        <v>7137</v>
      </c>
      <c r="E2188" t="s">
        <v>333</v>
      </c>
      <c r="F2188" t="s">
        <v>24</v>
      </c>
      <c r="G2188" t="s">
        <v>24</v>
      </c>
      <c r="H2188">
        <f>10368*(1.01^10)</f>
        <v>11452.72219626337</v>
      </c>
      <c r="I2188">
        <f>52627*(1.01^10)</f>
        <v>58132.94859401547</v>
      </c>
      <c r="J2188" t="s">
        <v>7143</v>
      </c>
      <c r="K2188">
        <f t="shared" si="34"/>
        <v>978.2627671062703</v>
      </c>
    </row>
    <row r="2189" spans="1:11" x14ac:dyDescent="0.2">
      <c r="A2189" t="s">
        <v>445</v>
      </c>
      <c r="B2189" t="s">
        <v>2959</v>
      </c>
      <c r="C2189" t="s">
        <v>7144</v>
      </c>
      <c r="D2189" t="s">
        <v>7145</v>
      </c>
      <c r="E2189" t="s">
        <v>495</v>
      </c>
      <c r="F2189" t="s">
        <v>11</v>
      </c>
      <c r="G2189" t="s">
        <v>12</v>
      </c>
      <c r="H2189">
        <f>49584*(1.01^10)</f>
        <v>54771.583466389173</v>
      </c>
      <c r="I2189">
        <f>242676*(1.01^10)</f>
        <v>268065.27890628955</v>
      </c>
      <c r="J2189" t="s">
        <v>7146</v>
      </c>
      <c r="K2189">
        <f t="shared" si="34"/>
        <v>420.66901250741745</v>
      </c>
    </row>
    <row r="2190" spans="1:11" x14ac:dyDescent="0.2">
      <c r="A2190" t="s">
        <v>445</v>
      </c>
      <c r="B2190" t="s">
        <v>2959</v>
      </c>
      <c r="C2190" t="s">
        <v>7147</v>
      </c>
      <c r="D2190" t="s">
        <v>7148</v>
      </c>
      <c r="E2190" t="s">
        <v>301</v>
      </c>
      <c r="F2190" t="s">
        <v>5</v>
      </c>
      <c r="G2190" t="s">
        <v>12</v>
      </c>
      <c r="H2190">
        <f>42617*(1.01^10)</f>
        <v>47075.681118649314</v>
      </c>
      <c r="I2190">
        <f>212360*(1.01^10)</f>
        <v>234577.55455232345</v>
      </c>
      <c r="J2190" t="s">
        <v>7149</v>
      </c>
      <c r="K2190">
        <f t="shared" si="34"/>
        <v>405.372534724307</v>
      </c>
    </row>
    <row r="2191" spans="1:11" x14ac:dyDescent="0.2">
      <c r="A2191" t="s">
        <v>445</v>
      </c>
      <c r="B2191" t="s">
        <v>2959</v>
      </c>
      <c r="C2191" t="s">
        <v>7150</v>
      </c>
      <c r="D2191" t="s">
        <v>7151</v>
      </c>
      <c r="E2191" t="s">
        <v>1233</v>
      </c>
      <c r="F2191" t="s">
        <v>17</v>
      </c>
      <c r="G2191" t="s">
        <v>24</v>
      </c>
      <c r="H2191">
        <f>26899*(1.01^10)</f>
        <v>29713.230551435998</v>
      </c>
      <c r="I2191">
        <f>132773*(1.01^10)</f>
        <v>146663.99345722189</v>
      </c>
      <c r="J2191" t="s">
        <v>7152</v>
      </c>
      <c r="K2191">
        <f t="shared" si="34"/>
        <v>445.54724177191775</v>
      </c>
    </row>
    <row r="2192" spans="1:11" x14ac:dyDescent="0.2">
      <c r="A2192" t="s">
        <v>445</v>
      </c>
      <c r="B2192" t="s">
        <v>2959</v>
      </c>
      <c r="C2192" t="s">
        <v>6791</v>
      </c>
      <c r="D2192" t="s">
        <v>6792</v>
      </c>
      <c r="E2192" t="s">
        <v>356</v>
      </c>
      <c r="F2192" t="s">
        <v>24</v>
      </c>
      <c r="G2192" t="s">
        <v>24</v>
      </c>
      <c r="H2192">
        <f>3440*(1.01^10)</f>
        <v>3799.9001114145444</v>
      </c>
      <c r="I2192">
        <f>18600*(1.01^10)</f>
        <v>20545.971532648407</v>
      </c>
      <c r="J2192" t="s">
        <v>7153</v>
      </c>
      <c r="K2192">
        <f t="shared" si="34"/>
        <v>575.27121624263782</v>
      </c>
    </row>
    <row r="2193" spans="1:11" x14ac:dyDescent="0.2">
      <c r="A2193" t="s">
        <v>356</v>
      </c>
      <c r="B2193" t="s">
        <v>433</v>
      </c>
      <c r="C2193" t="s">
        <v>7154</v>
      </c>
      <c r="D2193" t="s">
        <v>7155</v>
      </c>
      <c r="E2193" t="s">
        <v>131</v>
      </c>
      <c r="F2193" t="s">
        <v>24</v>
      </c>
      <c r="G2193" t="s">
        <v>5</v>
      </c>
      <c r="H2193">
        <f>27470*(1.01^10)</f>
        <v>30343.969785045796</v>
      </c>
      <c r="I2193">
        <f>126935*(1.01^10)</f>
        <v>140215.20948907128</v>
      </c>
      <c r="J2193" t="s">
        <v>7156</v>
      </c>
      <c r="K2193">
        <f t="shared" si="34"/>
        <v>271.47858883334607</v>
      </c>
    </row>
    <row r="2194" spans="1:11" x14ac:dyDescent="0.2">
      <c r="A2194" t="s">
        <v>356</v>
      </c>
      <c r="B2194" t="s">
        <v>433</v>
      </c>
      <c r="C2194" t="s">
        <v>7157</v>
      </c>
      <c r="D2194" t="s">
        <v>7158</v>
      </c>
      <c r="E2194" t="s">
        <v>220</v>
      </c>
      <c r="F2194" t="s">
        <v>24</v>
      </c>
      <c r="G2194" t="s">
        <v>24</v>
      </c>
      <c r="H2194">
        <f>15304*(1.01^10)</f>
        <v>16905.137007293077</v>
      </c>
      <c r="I2194">
        <f>70125*(1.01^10)</f>
        <v>77461.626544460727</v>
      </c>
      <c r="J2194" t="s">
        <v>7159</v>
      </c>
      <c r="K2194">
        <f t="shared" si="34"/>
        <v>564.36833883106442</v>
      </c>
    </row>
    <row r="2195" spans="1:11" x14ac:dyDescent="0.2">
      <c r="A2195" t="s">
        <v>356</v>
      </c>
      <c r="B2195" t="s">
        <v>433</v>
      </c>
      <c r="C2195" t="s">
        <v>7160</v>
      </c>
      <c r="D2195" t="s">
        <v>7161</v>
      </c>
      <c r="E2195" t="s">
        <v>131</v>
      </c>
      <c r="F2195" t="s">
        <v>6</v>
      </c>
      <c r="G2195" t="s">
        <v>12</v>
      </c>
      <c r="H2195">
        <f>15358*(1.01^10)</f>
        <v>16964.786602065284</v>
      </c>
      <c r="I2195">
        <f>74746*(1.01^10)</f>
        <v>82566.085385985905</v>
      </c>
      <c r="J2195" t="s">
        <v>7162</v>
      </c>
      <c r="K2195">
        <f t="shared" si="34"/>
        <v>237.72342254906246</v>
      </c>
    </row>
    <row r="2196" spans="1:11" x14ac:dyDescent="0.2">
      <c r="A2196" t="s">
        <v>356</v>
      </c>
      <c r="B2196" t="s">
        <v>433</v>
      </c>
      <c r="C2196" t="s">
        <v>7163</v>
      </c>
      <c r="D2196" t="s">
        <v>7164</v>
      </c>
      <c r="E2196" t="s">
        <v>97</v>
      </c>
      <c r="F2196" t="s">
        <v>158</v>
      </c>
      <c r="G2196" t="s">
        <v>24</v>
      </c>
      <c r="H2196">
        <f>13172*(1.01^10)</f>
        <v>14550.082635916389</v>
      </c>
      <c r="I2196">
        <f>66830*(1.01^10)</f>
        <v>73821.896641230807</v>
      </c>
      <c r="J2196" t="s">
        <v>7165</v>
      </c>
      <c r="K2196">
        <f t="shared" si="34"/>
        <v>221.528347365006</v>
      </c>
    </row>
    <row r="2197" spans="1:11" x14ac:dyDescent="0.2">
      <c r="A2197" t="s">
        <v>356</v>
      </c>
      <c r="B2197" t="s">
        <v>433</v>
      </c>
      <c r="C2197" t="s">
        <v>7166</v>
      </c>
      <c r="D2197" t="s">
        <v>7167</v>
      </c>
      <c r="E2197" t="s">
        <v>313</v>
      </c>
      <c r="F2197" t="s">
        <v>108</v>
      </c>
      <c r="G2197" t="s">
        <v>24</v>
      </c>
      <c r="H2197">
        <f>12662*(1.01^10)</f>
        <v>13986.725351956675</v>
      </c>
      <c r="I2197">
        <f>60663*(1.01^10)</f>
        <v>67009.691993819913</v>
      </c>
      <c r="J2197" t="s">
        <v>7168</v>
      </c>
      <c r="K2197">
        <f t="shared" si="34"/>
        <v>164.41825153887078</v>
      </c>
    </row>
    <row r="2198" spans="1:11" x14ac:dyDescent="0.2">
      <c r="A2198" t="s">
        <v>356</v>
      </c>
      <c r="B2198" t="s">
        <v>433</v>
      </c>
      <c r="C2198" t="s">
        <v>7169</v>
      </c>
      <c r="D2198" t="s">
        <v>7170</v>
      </c>
      <c r="E2198" t="s">
        <v>176</v>
      </c>
      <c r="F2198" t="s">
        <v>12</v>
      </c>
      <c r="G2198" t="s">
        <v>5</v>
      </c>
      <c r="H2198">
        <f>25468*(1.01^10)</f>
        <v>28132.516289972562</v>
      </c>
      <c r="I2198">
        <f>113516*(1.01^10)</f>
        <v>125392.28518817831</v>
      </c>
      <c r="J2198" t="s">
        <v>7171</v>
      </c>
      <c r="K2198">
        <f t="shared" si="34"/>
        <v>903.14285104855435</v>
      </c>
    </row>
    <row r="2199" spans="1:11" x14ac:dyDescent="0.2">
      <c r="A2199" t="s">
        <v>356</v>
      </c>
      <c r="B2199" t="s">
        <v>433</v>
      </c>
      <c r="C2199" t="s">
        <v>7172</v>
      </c>
      <c r="D2199" t="s">
        <v>7173</v>
      </c>
      <c r="E2199" t="s">
        <v>1340</v>
      </c>
      <c r="F2199" t="s">
        <v>24</v>
      </c>
      <c r="G2199" t="s">
        <v>24</v>
      </c>
      <c r="H2199">
        <f>9962*(1.01^10)</f>
        <v>11004.245613346422</v>
      </c>
      <c r="I2199">
        <f>46374*(1.01^10)</f>
        <v>51225.746443819211</v>
      </c>
      <c r="J2199" t="s">
        <v>7174</v>
      </c>
      <c r="K2199">
        <f t="shared" si="34"/>
        <v>554.94305363296633</v>
      </c>
    </row>
    <row r="2200" spans="1:11" x14ac:dyDescent="0.2">
      <c r="A2200" t="s">
        <v>356</v>
      </c>
      <c r="B2200" t="s">
        <v>433</v>
      </c>
      <c r="C2200" t="s">
        <v>7175</v>
      </c>
      <c r="D2200" t="s">
        <v>7176</v>
      </c>
      <c r="E2200" t="s">
        <v>137</v>
      </c>
      <c r="F2200" t="s">
        <v>6</v>
      </c>
      <c r="G2200" t="s">
        <v>12</v>
      </c>
      <c r="H2200">
        <f>20892*(1.01^10)</f>
        <v>23077.765444090888</v>
      </c>
      <c r="I2200">
        <f>94347*(1.01^10)</f>
        <v>104217.78366617093</v>
      </c>
      <c r="J2200" t="s">
        <v>7177</v>
      </c>
      <c r="K2200">
        <f t="shared" si="34"/>
        <v>343.90773458939015</v>
      </c>
    </row>
    <row r="2201" spans="1:11" x14ac:dyDescent="0.2">
      <c r="A2201" t="s">
        <v>356</v>
      </c>
      <c r="B2201" t="s">
        <v>433</v>
      </c>
      <c r="C2201" t="s">
        <v>7178</v>
      </c>
      <c r="D2201" t="s">
        <v>7179</v>
      </c>
      <c r="E2201" t="s">
        <v>612</v>
      </c>
      <c r="F2201" t="s">
        <v>458</v>
      </c>
      <c r="G2201" t="s">
        <v>158</v>
      </c>
      <c r="H2201">
        <f>42666*(1.01^10)</f>
        <v>47129.807602794463</v>
      </c>
      <c r="I2201">
        <f>197278*(1.01^10)</f>
        <v>217917.64365687166</v>
      </c>
      <c r="J2201" t="s">
        <v>7180</v>
      </c>
      <c r="K2201">
        <f t="shared" si="34"/>
        <v>1250.7381131223033</v>
      </c>
    </row>
    <row r="2202" spans="1:11" x14ac:dyDescent="0.2">
      <c r="A2202" t="s">
        <v>356</v>
      </c>
      <c r="B2202" t="s">
        <v>433</v>
      </c>
      <c r="C2202" t="s">
        <v>7181</v>
      </c>
      <c r="D2202" t="s">
        <v>7182</v>
      </c>
      <c r="E2202" t="s">
        <v>394</v>
      </c>
      <c r="F2202" t="s">
        <v>44</v>
      </c>
      <c r="G2202" t="s">
        <v>158</v>
      </c>
      <c r="H2202">
        <f>35752*(1.01^10)</f>
        <v>39492.450227701389</v>
      </c>
      <c r="I2202">
        <f>165523*(1.01^10)</f>
        <v>182840.36806443884</v>
      </c>
      <c r="J2202" t="s">
        <v>7183</v>
      </c>
      <c r="K2202">
        <f t="shared" si="34"/>
        <v>705.00108897936389</v>
      </c>
    </row>
    <row r="2203" spans="1:11" x14ac:dyDescent="0.2">
      <c r="A2203" t="s">
        <v>356</v>
      </c>
      <c r="B2203" t="s">
        <v>433</v>
      </c>
      <c r="C2203" t="s">
        <v>7184</v>
      </c>
      <c r="D2203" t="s">
        <v>7185</v>
      </c>
      <c r="E2203" t="s">
        <v>489</v>
      </c>
      <c r="F2203" t="s">
        <v>405</v>
      </c>
      <c r="G2203" t="s">
        <v>24</v>
      </c>
      <c r="H2203">
        <f>42138*(1.01^10)</f>
        <v>46546.567120577347</v>
      </c>
      <c r="I2203">
        <f>204522*(1.01^10)</f>
        <v>225919.52633335043</v>
      </c>
      <c r="J2203" t="s">
        <v>7186</v>
      </c>
      <c r="K2203">
        <f t="shared" si="34"/>
        <v>849.9374282857342</v>
      </c>
    </row>
    <row r="2204" spans="1:11" x14ac:dyDescent="0.2">
      <c r="A2204" t="s">
        <v>356</v>
      </c>
      <c r="B2204" t="s">
        <v>433</v>
      </c>
      <c r="C2204" t="s">
        <v>7187</v>
      </c>
      <c r="D2204" t="s">
        <v>7188</v>
      </c>
      <c r="E2204" t="s">
        <v>1106</v>
      </c>
      <c r="F2204" t="s">
        <v>12</v>
      </c>
      <c r="G2204" t="s">
        <v>17</v>
      </c>
      <c r="H2204">
        <f>23352*(1.01^10)</f>
        <v>25795.135872602452</v>
      </c>
      <c r="I2204">
        <f>109251*(1.01^10)</f>
        <v>120681.07182329953</v>
      </c>
      <c r="J2204" t="s">
        <v>7189</v>
      </c>
      <c r="K2204">
        <f t="shared" si="34"/>
        <v>984.9123028571928</v>
      </c>
    </row>
    <row r="2205" spans="1:11" x14ac:dyDescent="0.2">
      <c r="A2205" t="s">
        <v>356</v>
      </c>
      <c r="B2205" t="s">
        <v>433</v>
      </c>
      <c r="C2205" t="s">
        <v>6484</v>
      </c>
      <c r="D2205" t="s">
        <v>6485</v>
      </c>
      <c r="E2205" t="s">
        <v>24</v>
      </c>
      <c r="F2205" t="s">
        <v>24</v>
      </c>
      <c r="G2205" t="s">
        <v>92</v>
      </c>
      <c r="H2205">
        <f>107038*(1.01^10)</f>
        <v>118236.54305976453</v>
      </c>
      <c r="I2205">
        <f>516713*(1.01^10)</f>
        <v>570772.61228759983</v>
      </c>
      <c r="J2205" t="s">
        <v>7190</v>
      </c>
      <c r="K2205">
        <f t="shared" si="34"/>
        <v>11182.848986826015</v>
      </c>
    </row>
    <row r="2206" spans="1:11" x14ac:dyDescent="0.2">
      <c r="A2206" t="s">
        <v>356</v>
      </c>
      <c r="B2206" t="s">
        <v>731</v>
      </c>
      <c r="C2206" t="s">
        <v>7191</v>
      </c>
      <c r="D2206" t="s">
        <v>7192</v>
      </c>
      <c r="E2206" t="s">
        <v>427</v>
      </c>
      <c r="F2206" t="s">
        <v>24</v>
      </c>
      <c r="G2206" t="s">
        <v>11</v>
      </c>
      <c r="H2206">
        <f>82038*(1.01^10)</f>
        <v>90620.989924484413</v>
      </c>
      <c r="I2206">
        <f>373776*(1.01^10)</f>
        <v>412881.23954769847</v>
      </c>
      <c r="J2206" t="s">
        <v>7193</v>
      </c>
      <c r="K2206">
        <f t="shared" si="34"/>
        <v>627.0798510054193</v>
      </c>
    </row>
    <row r="2207" spans="1:11" x14ac:dyDescent="0.2">
      <c r="A2207" t="s">
        <v>356</v>
      </c>
      <c r="B2207" t="s">
        <v>731</v>
      </c>
      <c r="C2207" t="s">
        <v>7194</v>
      </c>
      <c r="D2207" t="s">
        <v>7195</v>
      </c>
      <c r="E2207" t="s">
        <v>977</v>
      </c>
      <c r="F2207" t="s">
        <v>11</v>
      </c>
      <c r="G2207" t="s">
        <v>11</v>
      </c>
      <c r="H2207">
        <f>64310*(1.01^10)</f>
        <v>71038.248885194582</v>
      </c>
      <c r="I2207">
        <f>299556*(1.01^10)</f>
        <v>330896.18539967883</v>
      </c>
      <c r="J2207" t="s">
        <v>7196</v>
      </c>
      <c r="K2207">
        <f t="shared" si="34"/>
        <v>587.41380829883474</v>
      </c>
    </row>
    <row r="2208" spans="1:11" x14ac:dyDescent="0.2">
      <c r="A2208" t="s">
        <v>356</v>
      </c>
      <c r="B2208" t="s">
        <v>731</v>
      </c>
      <c r="C2208" t="s">
        <v>7197</v>
      </c>
      <c r="D2208" t="s">
        <v>7198</v>
      </c>
      <c r="E2208" t="s">
        <v>313</v>
      </c>
      <c r="F2208" t="s">
        <v>12</v>
      </c>
      <c r="G2208" t="s">
        <v>11</v>
      </c>
      <c r="H2208">
        <f>25251*(1.01^10)</f>
        <v>27892.813288758331</v>
      </c>
      <c r="I2208">
        <f>117540*(1.01^10)</f>
        <v>129837.284620833</v>
      </c>
      <c r="J2208" t="s">
        <v>7199</v>
      </c>
      <c r="K2208">
        <f t="shared" si="34"/>
        <v>563.19407423390805</v>
      </c>
    </row>
    <row r="2209" spans="1:11" x14ac:dyDescent="0.2">
      <c r="A2209" t="s">
        <v>356</v>
      </c>
      <c r="B2209" t="s">
        <v>731</v>
      </c>
      <c r="C2209" t="s">
        <v>7200</v>
      </c>
      <c r="D2209" t="s">
        <v>7201</v>
      </c>
      <c r="E2209" t="s">
        <v>97</v>
      </c>
      <c r="F2209" t="s">
        <v>12</v>
      </c>
      <c r="G2209" t="s">
        <v>24</v>
      </c>
      <c r="H2209">
        <f>27274*(1.01^10)</f>
        <v>30127.463848465199</v>
      </c>
      <c r="I2209">
        <f>127397*(1.01^10)</f>
        <v>140725.54491101124</v>
      </c>
      <c r="J2209" t="s">
        <v>7202</v>
      </c>
      <c r="K2209">
        <f t="shared" si="34"/>
        <v>307.49729546359009</v>
      </c>
    </row>
    <row r="2210" spans="1:11" x14ac:dyDescent="0.2">
      <c r="A2210" t="s">
        <v>356</v>
      </c>
      <c r="B2210" t="s">
        <v>731</v>
      </c>
      <c r="C2210" t="s">
        <v>7203</v>
      </c>
      <c r="D2210" t="s">
        <v>7204</v>
      </c>
      <c r="E2210" t="s">
        <v>2795</v>
      </c>
      <c r="F2210" t="s">
        <v>24</v>
      </c>
      <c r="G2210" t="s">
        <v>17</v>
      </c>
      <c r="H2210">
        <f>44149*(1.01^10)</f>
        <v>48767.962214779276</v>
      </c>
      <c r="I2210">
        <f>202026*(1.01^10)</f>
        <v>223162.38950832406</v>
      </c>
      <c r="J2210" t="s">
        <v>7205</v>
      </c>
      <c r="K2210">
        <f t="shared" si="34"/>
        <v>632.38708587150234</v>
      </c>
    </row>
    <row r="2211" spans="1:11" x14ac:dyDescent="0.2">
      <c r="A2211" t="s">
        <v>356</v>
      </c>
      <c r="B2211" t="s">
        <v>731</v>
      </c>
      <c r="C2211" t="s">
        <v>7206</v>
      </c>
      <c r="D2211" t="s">
        <v>7207</v>
      </c>
      <c r="E2211" t="s">
        <v>185</v>
      </c>
      <c r="F2211" t="s">
        <v>24</v>
      </c>
      <c r="G2211" t="s">
        <v>5</v>
      </c>
      <c r="H2211">
        <f>62737*(1.01^10)</f>
        <v>69300.678281922752</v>
      </c>
      <c r="I2211">
        <f>298458*(1.01^10)</f>
        <v>329683.31030597736</v>
      </c>
      <c r="J2211" t="s">
        <v>7208</v>
      </c>
      <c r="K2211">
        <f t="shared" si="34"/>
        <v>323.16648075003275</v>
      </c>
    </row>
    <row r="2212" spans="1:11" x14ac:dyDescent="0.2">
      <c r="A2212" t="s">
        <v>356</v>
      </c>
      <c r="B2212" t="s">
        <v>731</v>
      </c>
      <c r="C2212" t="s">
        <v>7209</v>
      </c>
      <c r="D2212" t="s">
        <v>7210</v>
      </c>
      <c r="E2212" t="s">
        <v>619</v>
      </c>
      <c r="F2212" t="s">
        <v>24</v>
      </c>
      <c r="G2212" t="s">
        <v>11</v>
      </c>
      <c r="H2212">
        <f>44997*(1.01^10)</f>
        <v>49704.681777127982</v>
      </c>
      <c r="I2212">
        <f>199609*(1.01^10)</f>
        <v>220492.51783120516</v>
      </c>
      <c r="J2212" t="s">
        <v>7211</v>
      </c>
      <c r="K2212">
        <f t="shared" si="34"/>
        <v>473.65116672223155</v>
      </c>
    </row>
    <row r="2213" spans="1:11" x14ac:dyDescent="0.2">
      <c r="A2213" t="s">
        <v>356</v>
      </c>
      <c r="B2213" t="s">
        <v>731</v>
      </c>
      <c r="C2213" t="s">
        <v>7212</v>
      </c>
      <c r="D2213" t="s">
        <v>7213</v>
      </c>
      <c r="E2213" t="s">
        <v>764</v>
      </c>
      <c r="F2213" t="s">
        <v>24</v>
      </c>
      <c r="G2213" t="s">
        <v>92</v>
      </c>
      <c r="H2213">
        <f>50211*(1.01^10)</f>
        <v>55464.181539022</v>
      </c>
      <c r="I2213">
        <f>216931*(1.01^10)</f>
        <v>239626.78228757807</v>
      </c>
      <c r="J2213" t="s">
        <v>7214</v>
      </c>
      <c r="K2213">
        <f t="shared" si="34"/>
        <v>689.24984595132207</v>
      </c>
    </row>
    <row r="2214" spans="1:11" x14ac:dyDescent="0.2">
      <c r="A2214" t="s">
        <v>356</v>
      </c>
      <c r="B2214" t="s">
        <v>731</v>
      </c>
      <c r="C2214" t="s">
        <v>7215</v>
      </c>
      <c r="D2214" t="s">
        <v>7216</v>
      </c>
      <c r="E2214" t="s">
        <v>394</v>
      </c>
      <c r="F2214" t="s">
        <v>24</v>
      </c>
      <c r="G2214" t="s">
        <v>17</v>
      </c>
      <c r="H2214">
        <f>52032*(1.01^10)</f>
        <v>57475.698429395808</v>
      </c>
      <c r="I2214">
        <f>218272*(1.01^10)</f>
        <v>241108.0805577545</v>
      </c>
      <c r="J2214" t="s">
        <v>7217</v>
      </c>
      <c r="K2214">
        <f t="shared" si="34"/>
        <v>769.49715898350962</v>
      </c>
    </row>
    <row r="2215" spans="1:11" x14ac:dyDescent="0.2">
      <c r="A2215" t="s">
        <v>356</v>
      </c>
      <c r="B2215" t="s">
        <v>731</v>
      </c>
      <c r="C2215" t="s">
        <v>7218</v>
      </c>
      <c r="D2215" t="s">
        <v>7219</v>
      </c>
      <c r="E2215" t="s">
        <v>51</v>
      </c>
      <c r="F2215" t="s">
        <v>24</v>
      </c>
      <c r="G2215" t="s">
        <v>5</v>
      </c>
      <c r="H2215">
        <f>65571*(1.01^10)</f>
        <v>72431.177385338102</v>
      </c>
      <c r="I2215">
        <f>290722*(1.01^10)</f>
        <v>321137.95354379626</v>
      </c>
      <c r="J2215" t="s">
        <v>7220</v>
      </c>
      <c r="K2215">
        <f t="shared" si="34"/>
        <v>1133.8239897683877</v>
      </c>
    </row>
    <row r="2216" spans="1:11" x14ac:dyDescent="0.2">
      <c r="A2216" t="s">
        <v>356</v>
      </c>
      <c r="B2216" t="s">
        <v>731</v>
      </c>
      <c r="C2216" t="s">
        <v>7221</v>
      </c>
      <c r="D2216" t="s">
        <v>7222</v>
      </c>
      <c r="E2216" t="s">
        <v>148</v>
      </c>
      <c r="F2216" t="s">
        <v>5</v>
      </c>
      <c r="G2216" t="s">
        <v>11</v>
      </c>
      <c r="H2216">
        <f>91329*(1.01^10)</f>
        <v>100884.03409167992</v>
      </c>
      <c r="I2216">
        <f>414854*(1.01^10)</f>
        <v>458256.90721533995</v>
      </c>
      <c r="J2216" t="s">
        <v>7223</v>
      </c>
      <c r="K2216">
        <f t="shared" si="34"/>
        <v>925.97222218703007</v>
      </c>
    </row>
    <row r="2217" spans="1:11" x14ac:dyDescent="0.2">
      <c r="A2217" t="s">
        <v>356</v>
      </c>
      <c r="B2217" t="s">
        <v>731</v>
      </c>
      <c r="C2217" t="s">
        <v>7224</v>
      </c>
      <c r="D2217" t="s">
        <v>7225</v>
      </c>
      <c r="E2217" t="s">
        <v>1229</v>
      </c>
      <c r="F2217" t="s">
        <v>158</v>
      </c>
      <c r="G2217" t="s">
        <v>17</v>
      </c>
      <c r="H2217">
        <f>76492*(1.01^10)</f>
        <v>84494.755616953873</v>
      </c>
      <c r="I2217">
        <f>329032*(1.01^10)</f>
        <v>363456.02716829954</v>
      </c>
      <c r="J2217" t="s">
        <v>7226</v>
      </c>
      <c r="K2217">
        <f t="shared" si="34"/>
        <v>772.97982588429386</v>
      </c>
    </row>
    <row r="2218" spans="1:11" x14ac:dyDescent="0.2">
      <c r="A2218" t="s">
        <v>356</v>
      </c>
      <c r="B2218" t="s">
        <v>731</v>
      </c>
      <c r="C2218" t="s">
        <v>7227</v>
      </c>
      <c r="D2218" t="s">
        <v>7228</v>
      </c>
      <c r="E2218" t="s">
        <v>56</v>
      </c>
      <c r="F2218" t="s">
        <v>24</v>
      </c>
      <c r="G2218" t="s">
        <v>12</v>
      </c>
      <c r="H2218">
        <f>73981*(1.01^10)</f>
        <v>81721.049460046343</v>
      </c>
      <c r="I2218">
        <f>323445*(1.01^10)</f>
        <v>357284.50335362711</v>
      </c>
      <c r="J2218" t="s">
        <v>7229</v>
      </c>
      <c r="K2218">
        <f t="shared" si="34"/>
        <v>711.53665882575297</v>
      </c>
    </row>
    <row r="2219" spans="1:11" x14ac:dyDescent="0.2">
      <c r="A2219" t="s">
        <v>356</v>
      </c>
      <c r="B2219" t="s">
        <v>731</v>
      </c>
      <c r="C2219" t="s">
        <v>6484</v>
      </c>
      <c r="D2219" t="s">
        <v>6485</v>
      </c>
      <c r="E2219" t="s">
        <v>24</v>
      </c>
      <c r="F2219" t="s">
        <v>24</v>
      </c>
      <c r="G2219" t="s">
        <v>5</v>
      </c>
      <c r="H2219">
        <f>107954*(1.01^10)</f>
        <v>119248.3769266412</v>
      </c>
      <c r="I2219">
        <f>461228*(1.01^10)</f>
        <v>509482.65365915914</v>
      </c>
      <c r="J2219" t="s">
        <v>7230</v>
      </c>
      <c r="K2219">
        <f t="shared" si="34"/>
        <v>7597.4150560566522</v>
      </c>
    </row>
    <row r="2220" spans="1:11" x14ac:dyDescent="0.2">
      <c r="A2220" t="s">
        <v>356</v>
      </c>
      <c r="B2220" t="s">
        <v>1089</v>
      </c>
      <c r="C2220" t="s">
        <v>7231</v>
      </c>
      <c r="D2220" t="s">
        <v>7232</v>
      </c>
      <c r="E2220" t="s">
        <v>164</v>
      </c>
      <c r="F2220" t="s">
        <v>92</v>
      </c>
      <c r="G2220" t="s">
        <v>24</v>
      </c>
      <c r="H2220">
        <f>24238*(1.01^10)</f>
        <v>26773.831075716782</v>
      </c>
      <c r="I2220">
        <f>103969*(1.01^10)</f>
        <v>114846.45775687754</v>
      </c>
      <c r="J2220" t="s">
        <v>7233</v>
      </c>
      <c r="K2220">
        <f t="shared" si="34"/>
        <v>571.93247336130344</v>
      </c>
    </row>
    <row r="2221" spans="1:11" x14ac:dyDescent="0.2">
      <c r="A2221" t="s">
        <v>356</v>
      </c>
      <c r="B2221" t="s">
        <v>1089</v>
      </c>
      <c r="C2221" t="s">
        <v>7234</v>
      </c>
      <c r="D2221" t="s">
        <v>7235</v>
      </c>
      <c r="E2221" t="s">
        <v>771</v>
      </c>
      <c r="F2221" t="s">
        <v>23</v>
      </c>
      <c r="G2221" t="s">
        <v>12</v>
      </c>
      <c r="H2221">
        <f>37142*(1.01^10)</f>
        <v>41027.874982022964</v>
      </c>
      <c r="I2221">
        <f>155250*(1.01^10)</f>
        <v>171492.58497008955</v>
      </c>
      <c r="J2221" t="s">
        <v>7236</v>
      </c>
      <c r="K2221">
        <f t="shared" si="34"/>
        <v>537.31284558423999</v>
      </c>
    </row>
    <row r="2222" spans="1:11" x14ac:dyDescent="0.2">
      <c r="A2222" t="s">
        <v>356</v>
      </c>
      <c r="B2222" t="s">
        <v>1089</v>
      </c>
      <c r="C2222" t="s">
        <v>7237</v>
      </c>
      <c r="D2222" t="s">
        <v>7238</v>
      </c>
      <c r="E2222" t="s">
        <v>368</v>
      </c>
      <c r="F2222" t="s">
        <v>12</v>
      </c>
      <c r="G2222" t="s">
        <v>24</v>
      </c>
      <c r="H2222">
        <f>49786*(1.01^10)</f>
        <v>54994.71713572224</v>
      </c>
      <c r="I2222">
        <f>218191*(1.01^10)</f>
        <v>241018.60616559617</v>
      </c>
      <c r="J2222" t="s">
        <v>7239</v>
      </c>
      <c r="K2222">
        <f t="shared" si="34"/>
        <v>801.75775363470211</v>
      </c>
    </row>
    <row r="2223" spans="1:11" x14ac:dyDescent="0.2">
      <c r="A2223" t="s">
        <v>356</v>
      </c>
      <c r="B2223" t="s">
        <v>1089</v>
      </c>
      <c r="C2223" t="s">
        <v>7240</v>
      </c>
      <c r="D2223" t="s">
        <v>7241</v>
      </c>
      <c r="E2223" t="s">
        <v>287</v>
      </c>
      <c r="F2223" t="s">
        <v>12</v>
      </c>
      <c r="G2223" t="s">
        <v>24</v>
      </c>
      <c r="H2223">
        <f>50902*(1.01^10)</f>
        <v>56227.475427681144</v>
      </c>
      <c r="I2223">
        <f>227397*(1.01^10)</f>
        <v>251187.75745213171</v>
      </c>
      <c r="J2223" t="s">
        <v>7242</v>
      </c>
      <c r="K2223">
        <f t="shared" si="34"/>
        <v>845.90293765213767</v>
      </c>
    </row>
    <row r="2224" spans="1:11" x14ac:dyDescent="0.2">
      <c r="A2224" t="s">
        <v>356</v>
      </c>
      <c r="B2224" t="s">
        <v>1089</v>
      </c>
      <c r="C2224" t="s">
        <v>7243</v>
      </c>
      <c r="D2224" t="s">
        <v>7244</v>
      </c>
      <c r="E2224" t="s">
        <v>703</v>
      </c>
      <c r="F2224" t="s">
        <v>12</v>
      </c>
      <c r="G2224" t="s">
        <v>11</v>
      </c>
      <c r="H2224">
        <f>76550*(1.01^10)</f>
        <v>84558.823700227716</v>
      </c>
      <c r="I2224">
        <f>326558*(1.01^10)</f>
        <v>360723.19203003222</v>
      </c>
      <c r="J2224" t="s">
        <v>7245</v>
      </c>
      <c r="K2224">
        <f t="shared" si="34"/>
        <v>1050.367292661118</v>
      </c>
    </row>
    <row r="2225" spans="1:11" x14ac:dyDescent="0.2">
      <c r="A2225" t="s">
        <v>356</v>
      </c>
      <c r="B2225" t="s">
        <v>1089</v>
      </c>
      <c r="C2225" t="s">
        <v>7246</v>
      </c>
      <c r="D2225" t="s">
        <v>7247</v>
      </c>
      <c r="E2225" t="s">
        <v>1328</v>
      </c>
      <c r="F2225" t="s">
        <v>24</v>
      </c>
      <c r="G2225" t="s">
        <v>92</v>
      </c>
      <c r="H2225">
        <f>80438*(1.01^10)</f>
        <v>88853.594523826483</v>
      </c>
      <c r="I2225">
        <f>343901*(1.01^10)</f>
        <v>379880.6535510387</v>
      </c>
      <c r="J2225" t="s">
        <v>7248</v>
      </c>
      <c r="K2225">
        <f t="shared" si="34"/>
        <v>1000.8846797365644</v>
      </c>
    </row>
    <row r="2226" spans="1:11" x14ac:dyDescent="0.2">
      <c r="A2226" t="s">
        <v>356</v>
      </c>
      <c r="B2226" t="s">
        <v>1089</v>
      </c>
      <c r="C2226" t="s">
        <v>7249</v>
      </c>
      <c r="D2226" t="s">
        <v>7250</v>
      </c>
      <c r="E2226" t="s">
        <v>777</v>
      </c>
      <c r="F2226" t="s">
        <v>24</v>
      </c>
      <c r="G2226" t="s">
        <v>12</v>
      </c>
      <c r="H2226">
        <f>60433*(1.01^10)</f>
        <v>66755.62890497534</v>
      </c>
      <c r="I2226">
        <f>248595*(1.01^10)</f>
        <v>274603.53726659843</v>
      </c>
      <c r="J2226" t="s">
        <v>7251</v>
      </c>
      <c r="K2226">
        <f t="shared" si="34"/>
        <v>867.31828533219732</v>
      </c>
    </row>
    <row r="2227" spans="1:11" x14ac:dyDescent="0.2">
      <c r="A2227" t="s">
        <v>356</v>
      </c>
      <c r="B2227" t="s">
        <v>1089</v>
      </c>
      <c r="C2227" t="s">
        <v>7252</v>
      </c>
      <c r="D2227" t="s">
        <v>7253</v>
      </c>
      <c r="E2227" t="s">
        <v>619</v>
      </c>
      <c r="F2227" t="s">
        <v>24</v>
      </c>
      <c r="G2227" t="s">
        <v>12</v>
      </c>
      <c r="H2227">
        <f>44727*(1.01^10)</f>
        <v>49406.433803266955</v>
      </c>
      <c r="I2227">
        <f>186726*(1.01^10)</f>
        <v>206261.67098953261</v>
      </c>
      <c r="J2227" t="s">
        <v>7254</v>
      </c>
      <c r="K2227">
        <f t="shared" si="34"/>
        <v>829.49827216706217</v>
      </c>
    </row>
    <row r="2228" spans="1:11" x14ac:dyDescent="0.2">
      <c r="A2228" t="s">
        <v>356</v>
      </c>
      <c r="B2228" t="s">
        <v>1089</v>
      </c>
      <c r="C2228" t="s">
        <v>7255</v>
      </c>
      <c r="D2228" t="s">
        <v>7256</v>
      </c>
      <c r="E2228" t="s">
        <v>555</v>
      </c>
      <c r="F2228" t="s">
        <v>17</v>
      </c>
      <c r="G2228" t="s">
        <v>12</v>
      </c>
      <c r="H2228">
        <f>67587*(1.01^10)</f>
        <v>74658.095590167097</v>
      </c>
      <c r="I2228">
        <f>286269*(1.01^10)</f>
        <v>316219.0712193402</v>
      </c>
      <c r="J2228" t="s">
        <v>7257</v>
      </c>
      <c r="K2228">
        <f t="shared" si="34"/>
        <v>1167.7939988275289</v>
      </c>
    </row>
    <row r="2229" spans="1:11" x14ac:dyDescent="0.2">
      <c r="A2229" t="s">
        <v>356</v>
      </c>
      <c r="B2229" t="s">
        <v>1089</v>
      </c>
      <c r="C2229" t="s">
        <v>7258</v>
      </c>
      <c r="D2229" t="s">
        <v>7259</v>
      </c>
      <c r="E2229" t="s">
        <v>399</v>
      </c>
      <c r="F2229" t="s">
        <v>24</v>
      </c>
      <c r="G2229" t="s">
        <v>24</v>
      </c>
      <c r="H2229">
        <f>60896*(1.01^10)</f>
        <v>67267.068949040724</v>
      </c>
      <c r="I2229">
        <f>244066*(1.01^10)</f>
        <v>269600.70366061112</v>
      </c>
      <c r="J2229" t="s">
        <v>7260</v>
      </c>
      <c r="K2229">
        <f t="shared" si="34"/>
        <v>1051.6271433054567</v>
      </c>
    </row>
    <row r="2230" spans="1:11" x14ac:dyDescent="0.2">
      <c r="A2230" t="s">
        <v>356</v>
      </c>
      <c r="B2230" t="s">
        <v>1089</v>
      </c>
      <c r="C2230" t="s">
        <v>7261</v>
      </c>
      <c r="D2230" t="s">
        <v>7262</v>
      </c>
      <c r="E2230" t="s">
        <v>619</v>
      </c>
      <c r="F2230" t="s">
        <v>24</v>
      </c>
      <c r="G2230" t="s">
        <v>24</v>
      </c>
      <c r="H2230">
        <f>26647*(1.01^10)</f>
        <v>29434.865775832372</v>
      </c>
      <c r="I2230">
        <f>110333*(1.01^10)</f>
        <v>121876.27296299445</v>
      </c>
      <c r="J2230" t="s">
        <v>7263</v>
      </c>
      <c r="K2230">
        <f t="shared" si="34"/>
        <v>783.53673157026219</v>
      </c>
    </row>
    <row r="2231" spans="1:11" x14ac:dyDescent="0.2">
      <c r="A2231" t="s">
        <v>356</v>
      </c>
      <c r="B2231" t="s">
        <v>1089</v>
      </c>
      <c r="C2231" t="s">
        <v>7264</v>
      </c>
      <c r="D2231" t="s">
        <v>7265</v>
      </c>
      <c r="E2231" t="s">
        <v>998</v>
      </c>
      <c r="F2231" t="s">
        <v>11</v>
      </c>
      <c r="G2231" t="s">
        <v>24</v>
      </c>
      <c r="H2231">
        <f>42587*(1.01^10)</f>
        <v>47042.542454886978</v>
      </c>
      <c r="I2231">
        <f>185353*(1.01^10)</f>
        <v>204745.02481134303</v>
      </c>
      <c r="J2231" t="s">
        <v>7266</v>
      </c>
      <c r="K2231">
        <f t="shared" si="34"/>
        <v>772.00069698044706</v>
      </c>
    </row>
    <row r="2232" spans="1:11" x14ac:dyDescent="0.2">
      <c r="A2232" t="s">
        <v>356</v>
      </c>
      <c r="B2232" t="s">
        <v>1089</v>
      </c>
      <c r="C2232" t="s">
        <v>6484</v>
      </c>
      <c r="D2232" t="s">
        <v>6485</v>
      </c>
      <c r="E2232" t="s">
        <v>24</v>
      </c>
      <c r="F2232" t="s">
        <v>24</v>
      </c>
      <c r="G2232" t="s">
        <v>158</v>
      </c>
      <c r="H2232">
        <f>43787*(1.01^10)</f>
        <v>48368.089005380425</v>
      </c>
      <c r="I2232">
        <f>182478*(1.01^10)</f>
        <v>201569.23620078582</v>
      </c>
      <c r="J2232" t="s">
        <v>7267</v>
      </c>
      <c r="K2232">
        <f t="shared" si="34"/>
        <v>6049.4968847774853</v>
      </c>
    </row>
    <row r="2233" spans="1:11" x14ac:dyDescent="0.2">
      <c r="A2233" t="s">
        <v>356</v>
      </c>
      <c r="B2233" t="s">
        <v>1062</v>
      </c>
      <c r="C2233" t="s">
        <v>7268</v>
      </c>
      <c r="D2233" t="s">
        <v>7269</v>
      </c>
      <c r="E2233" t="s">
        <v>315</v>
      </c>
      <c r="F2233" t="s">
        <v>17</v>
      </c>
      <c r="G2233" t="s">
        <v>12</v>
      </c>
      <c r="H2233">
        <f>54441*(1.01^10)</f>
        <v>60136.733129511398</v>
      </c>
      <c r="I2233">
        <f>284403*(1.01^10)</f>
        <v>314157.84633332287</v>
      </c>
      <c r="J2233" t="s">
        <v>7270</v>
      </c>
      <c r="K2233">
        <f t="shared" si="34"/>
        <v>834.23847180428311</v>
      </c>
    </row>
    <row r="2234" spans="1:11" x14ac:dyDescent="0.2">
      <c r="A2234" t="s">
        <v>356</v>
      </c>
      <c r="B2234" t="s">
        <v>1062</v>
      </c>
      <c r="C2234" t="s">
        <v>7271</v>
      </c>
      <c r="D2234" t="s">
        <v>4854</v>
      </c>
      <c r="E2234" t="s">
        <v>368</v>
      </c>
      <c r="F2234" t="s">
        <v>24</v>
      </c>
      <c r="G2234" t="s">
        <v>24</v>
      </c>
      <c r="H2234">
        <f>58580*(1.01^10)</f>
        <v>64708.764106588373</v>
      </c>
      <c r="I2234">
        <f>308518*(1.01^10)</f>
        <v>340795.80888761405</v>
      </c>
      <c r="J2234" t="s">
        <v>7272</v>
      </c>
      <c r="K2234">
        <f t="shared" si="34"/>
        <v>1026.9039524447057</v>
      </c>
    </row>
    <row r="2235" spans="1:11" x14ac:dyDescent="0.2">
      <c r="A2235" t="s">
        <v>356</v>
      </c>
      <c r="B2235" t="s">
        <v>1062</v>
      </c>
      <c r="C2235" t="s">
        <v>7273</v>
      </c>
      <c r="D2235" t="s">
        <v>7274</v>
      </c>
      <c r="E2235" t="s">
        <v>2162</v>
      </c>
      <c r="F2235" t="s">
        <v>152</v>
      </c>
      <c r="G2235" t="s">
        <v>12</v>
      </c>
      <c r="H2235">
        <f>61307*(1.01^10)</f>
        <v>67721.068642584723</v>
      </c>
      <c r="I2235">
        <f>326120*(1.01^10)</f>
        <v>360239.3675391021</v>
      </c>
      <c r="J2235" t="s">
        <v>7275</v>
      </c>
      <c r="K2235">
        <f t="shared" si="34"/>
        <v>1004.7080737812913</v>
      </c>
    </row>
    <row r="2236" spans="1:11" x14ac:dyDescent="0.2">
      <c r="A2236" t="s">
        <v>356</v>
      </c>
      <c r="B2236" t="s">
        <v>1062</v>
      </c>
      <c r="C2236" t="s">
        <v>7276</v>
      </c>
      <c r="D2236" t="s">
        <v>7277</v>
      </c>
      <c r="E2236" t="s">
        <v>1115</v>
      </c>
      <c r="F2236" t="s">
        <v>12</v>
      </c>
      <c r="G2236" t="s">
        <v>24</v>
      </c>
      <c r="H2236">
        <f>55535*(1.01^10)</f>
        <v>61345.189734711254</v>
      </c>
      <c r="I2236">
        <f>291252*(1.01^10)</f>
        <v>321723.40327026421</v>
      </c>
      <c r="J2236" t="s">
        <v>7278</v>
      </c>
      <c r="K2236">
        <f t="shared" si="34"/>
        <v>1036.9602116230856</v>
      </c>
    </row>
    <row r="2237" spans="1:11" x14ac:dyDescent="0.2">
      <c r="A2237" t="s">
        <v>356</v>
      </c>
      <c r="B2237" t="s">
        <v>1062</v>
      </c>
      <c r="C2237" t="s">
        <v>7279</v>
      </c>
      <c r="D2237" t="s">
        <v>7280</v>
      </c>
      <c r="E2237" t="s">
        <v>495</v>
      </c>
      <c r="F2237" t="s">
        <v>11</v>
      </c>
      <c r="G2237" t="s">
        <v>24</v>
      </c>
      <c r="H2237">
        <f>69894*(1.01^10)</f>
        <v>77206.458833490746</v>
      </c>
      <c r="I2237">
        <f>368332*(1.01^10)</f>
        <v>406867.67669695988</v>
      </c>
      <c r="J2237" t="s">
        <v>7281</v>
      </c>
      <c r="K2237">
        <f t="shared" si="34"/>
        <v>1099.7790429847203</v>
      </c>
    </row>
    <row r="2238" spans="1:11" x14ac:dyDescent="0.2">
      <c r="A2238" t="s">
        <v>356</v>
      </c>
      <c r="B2238" t="s">
        <v>1062</v>
      </c>
      <c r="C2238" t="s">
        <v>7282</v>
      </c>
      <c r="D2238" t="s">
        <v>7283</v>
      </c>
      <c r="E2238" t="s">
        <v>667</v>
      </c>
      <c r="F2238" t="s">
        <v>12</v>
      </c>
      <c r="G2238" t="s">
        <v>17</v>
      </c>
      <c r="H2238">
        <f>92046*(1.01^10)</f>
        <v>101676.04815559975</v>
      </c>
      <c r="I2238">
        <f>430221*(1.01^10)</f>
        <v>475231.63541653391</v>
      </c>
      <c r="J2238" t="s">
        <v>7284</v>
      </c>
      <c r="K2238">
        <f t="shared" si="34"/>
        <v>973.19889167159363</v>
      </c>
    </row>
    <row r="2239" spans="1:11" x14ac:dyDescent="0.2">
      <c r="A2239" t="s">
        <v>356</v>
      </c>
      <c r="B2239" t="s">
        <v>1062</v>
      </c>
      <c r="C2239" t="s">
        <v>7285</v>
      </c>
      <c r="D2239" t="s">
        <v>7286</v>
      </c>
      <c r="E2239" t="s">
        <v>1215</v>
      </c>
      <c r="F2239" t="s">
        <v>17</v>
      </c>
      <c r="G2239" t="s">
        <v>24</v>
      </c>
      <c r="H2239">
        <f>32147*(1.01^10)</f>
        <v>35510.287465593996</v>
      </c>
      <c r="I2239">
        <f>142056*(1.01^10)</f>
        <v>156918.20064741411</v>
      </c>
      <c r="J2239" t="s">
        <v>7287</v>
      </c>
      <c r="K2239">
        <f t="shared" si="34"/>
        <v>811.9142254650468</v>
      </c>
    </row>
    <row r="2240" spans="1:11" x14ac:dyDescent="0.2">
      <c r="A2240" t="s">
        <v>356</v>
      </c>
      <c r="B2240" t="s">
        <v>1062</v>
      </c>
      <c r="C2240" t="s">
        <v>7288</v>
      </c>
      <c r="D2240" t="s">
        <v>7289</v>
      </c>
      <c r="E2240" t="s">
        <v>2553</v>
      </c>
      <c r="F2240" t="s">
        <v>12</v>
      </c>
      <c r="G2240" t="s">
        <v>24</v>
      </c>
      <c r="H2240">
        <f>49745*(1.01^10)</f>
        <v>54949.427628580379</v>
      </c>
      <c r="I2240">
        <f>224142*(1.01^10)</f>
        <v>247592.21243391826</v>
      </c>
      <c r="J2240" t="s">
        <v>7290</v>
      </c>
      <c r="K2240">
        <f t="shared" si="34"/>
        <v>848.05921659510352</v>
      </c>
    </row>
    <row r="2241" spans="1:11" x14ac:dyDescent="0.2">
      <c r="A2241" t="s">
        <v>356</v>
      </c>
      <c r="B2241" t="s">
        <v>1062</v>
      </c>
      <c r="C2241" t="s">
        <v>7291</v>
      </c>
      <c r="D2241" t="s">
        <v>7292</v>
      </c>
      <c r="E2241" t="s">
        <v>848</v>
      </c>
      <c r="F2241" t="s">
        <v>12</v>
      </c>
      <c r="G2241" t="s">
        <v>12</v>
      </c>
      <c r="H2241">
        <f>66041*(1.01^10)</f>
        <v>72950.349784281367</v>
      </c>
      <c r="I2241">
        <f>303678*(1.01^10)</f>
        <v>335449.43780062383</v>
      </c>
      <c r="J2241" t="s">
        <v>7293</v>
      </c>
      <c r="K2241">
        <f t="shared" si="34"/>
        <v>907.1088202166892</v>
      </c>
    </row>
    <row r="2242" spans="1:11" x14ac:dyDescent="0.2">
      <c r="A2242" t="s">
        <v>356</v>
      </c>
      <c r="B2242" t="s">
        <v>1062</v>
      </c>
      <c r="C2242" t="s">
        <v>6484</v>
      </c>
      <c r="D2242" t="s">
        <v>6485</v>
      </c>
      <c r="E2242" t="s">
        <v>24</v>
      </c>
      <c r="F2242" t="s">
        <v>24</v>
      </c>
      <c r="G2242" t="s">
        <v>5</v>
      </c>
      <c r="H2242">
        <f>65938*(1.01^10)</f>
        <v>72836.573705364019</v>
      </c>
      <c r="I2242">
        <f>328412*(1.01^10)</f>
        <v>362771.16145054455</v>
      </c>
      <c r="J2242" t="s">
        <v>7294</v>
      </c>
      <c r="K2242">
        <f t="shared" si="34"/>
        <v>7336.1205551171797</v>
      </c>
    </row>
    <row r="2243" spans="1:11" x14ac:dyDescent="0.2">
      <c r="A2243" t="s">
        <v>356</v>
      </c>
      <c r="B2243" t="s">
        <v>653</v>
      </c>
      <c r="C2243" t="s">
        <v>7295</v>
      </c>
      <c r="D2243" t="s">
        <v>7296</v>
      </c>
      <c r="E2243" t="s">
        <v>1405</v>
      </c>
      <c r="F2243" t="s">
        <v>11</v>
      </c>
      <c r="G2243" t="s">
        <v>24</v>
      </c>
      <c r="H2243">
        <f>45135*(1.01^10)</f>
        <v>49857.119630434725</v>
      </c>
      <c r="I2243">
        <f>198752*(1.01^10)</f>
        <v>219545.85666972777</v>
      </c>
      <c r="J2243" t="s">
        <v>7297</v>
      </c>
      <c r="K2243">
        <f t="shared" ref="K2243:K2306" si="35">I2243/J2243</f>
        <v>720.07301178604666</v>
      </c>
    </row>
    <row r="2244" spans="1:11" x14ac:dyDescent="0.2">
      <c r="A2244" t="s">
        <v>356</v>
      </c>
      <c r="B2244" t="s">
        <v>653</v>
      </c>
      <c r="C2244" t="s">
        <v>7298</v>
      </c>
      <c r="D2244" t="s">
        <v>7299</v>
      </c>
      <c r="E2244" t="s">
        <v>284</v>
      </c>
      <c r="F2244" t="s">
        <v>5</v>
      </c>
      <c r="G2244" t="s">
        <v>12</v>
      </c>
      <c r="H2244">
        <f>54319*(1.01^10)</f>
        <v>60001.969230211231</v>
      </c>
      <c r="I2244">
        <f>237628*(1.01^10)</f>
        <v>262489.14641721378</v>
      </c>
      <c r="J2244" t="s">
        <v>7300</v>
      </c>
      <c r="K2244">
        <f t="shared" si="35"/>
        <v>846.8447969184258</v>
      </c>
    </row>
    <row r="2245" spans="1:11" x14ac:dyDescent="0.2">
      <c r="A2245" t="s">
        <v>356</v>
      </c>
      <c r="B2245" t="s">
        <v>653</v>
      </c>
      <c r="C2245" t="s">
        <v>7301</v>
      </c>
      <c r="D2245" t="s">
        <v>7302</v>
      </c>
      <c r="E2245" t="s">
        <v>563</v>
      </c>
      <c r="F2245" t="s">
        <v>405</v>
      </c>
      <c r="G2245" t="s">
        <v>24</v>
      </c>
      <c r="H2245">
        <f>41290*(1.01^10)</f>
        <v>45609.847558228641</v>
      </c>
      <c r="I2245">
        <f>169102*(1.01^10)</f>
        <v>186793.81065128554</v>
      </c>
      <c r="J2245" t="s">
        <v>7303</v>
      </c>
      <c r="K2245">
        <f t="shared" si="35"/>
        <v>646.57642249650132</v>
      </c>
    </row>
    <row r="2246" spans="1:11" x14ac:dyDescent="0.2">
      <c r="A2246" t="s">
        <v>356</v>
      </c>
      <c r="B2246" t="s">
        <v>653</v>
      </c>
      <c r="C2246" t="s">
        <v>7304</v>
      </c>
      <c r="D2246" t="s">
        <v>7305</v>
      </c>
      <c r="E2246" t="s">
        <v>1229</v>
      </c>
      <c r="F2246" t="s">
        <v>11</v>
      </c>
      <c r="G2246" t="s">
        <v>24</v>
      </c>
      <c r="H2246">
        <f>20496*(1.01^10)</f>
        <v>22640.335082428053</v>
      </c>
      <c r="I2246">
        <f>83754*(1.01^10)</f>
        <v>92516.521491690044</v>
      </c>
      <c r="J2246" t="s">
        <v>7306</v>
      </c>
      <c r="K2246">
        <f t="shared" si="35"/>
        <v>1045.7347433164668</v>
      </c>
    </row>
    <row r="2247" spans="1:11" x14ac:dyDescent="0.2">
      <c r="A2247" t="s">
        <v>356</v>
      </c>
      <c r="B2247" t="s">
        <v>653</v>
      </c>
      <c r="C2247" t="s">
        <v>7307</v>
      </c>
      <c r="D2247" t="s">
        <v>7308</v>
      </c>
      <c r="E2247" t="s">
        <v>3304</v>
      </c>
      <c r="F2247" t="s">
        <v>458</v>
      </c>
      <c r="G2247" t="s">
        <v>11</v>
      </c>
      <c r="H2247">
        <f>61037*(1.01^10)</f>
        <v>67422.820668723711</v>
      </c>
      <c r="I2247">
        <f>248901*(1.01^10)</f>
        <v>274941.55163697427</v>
      </c>
      <c r="J2247" t="s">
        <v>7309</v>
      </c>
      <c r="K2247">
        <f t="shared" si="35"/>
        <v>774.46653074398125</v>
      </c>
    </row>
    <row r="2248" spans="1:11" x14ac:dyDescent="0.2">
      <c r="A2248" t="s">
        <v>356</v>
      </c>
      <c r="B2248" t="s">
        <v>653</v>
      </c>
      <c r="C2248" t="s">
        <v>7310</v>
      </c>
      <c r="D2248" t="s">
        <v>7311</v>
      </c>
      <c r="E2248" t="s">
        <v>1990</v>
      </c>
      <c r="F2248" t="s">
        <v>152</v>
      </c>
      <c r="G2248" t="s">
        <v>24</v>
      </c>
      <c r="H2248">
        <f>59443*(1.01^10)</f>
        <v>65662.05300081824</v>
      </c>
      <c r="I2248">
        <f>250504*(1.01^10)</f>
        <v>276712.26090400841</v>
      </c>
      <c r="J2248" t="s">
        <v>7312</v>
      </c>
      <c r="K2248">
        <f t="shared" si="35"/>
        <v>652.38988663034092</v>
      </c>
    </row>
    <row r="2249" spans="1:11" x14ac:dyDescent="0.2">
      <c r="A2249" t="s">
        <v>356</v>
      </c>
      <c r="B2249" t="s">
        <v>653</v>
      </c>
      <c r="C2249" t="s">
        <v>7313</v>
      </c>
      <c r="D2249" t="s">
        <v>7314</v>
      </c>
      <c r="E2249" t="s">
        <v>598</v>
      </c>
      <c r="F2249" t="s">
        <v>12</v>
      </c>
      <c r="G2249" t="s">
        <v>24</v>
      </c>
      <c r="H2249">
        <f>32707*(1.01^10)</f>
        <v>36128.875855824277</v>
      </c>
      <c r="I2249">
        <f>141286*(1.01^10)</f>
        <v>156067.64161084747</v>
      </c>
      <c r="J2249" t="s">
        <v>7315</v>
      </c>
      <c r="K2249">
        <f t="shared" si="35"/>
        <v>752.91392373719964</v>
      </c>
    </row>
    <row r="2250" spans="1:11" x14ac:dyDescent="0.2">
      <c r="A2250" t="s">
        <v>356</v>
      </c>
      <c r="B2250" t="s">
        <v>653</v>
      </c>
      <c r="C2250" t="s">
        <v>7316</v>
      </c>
      <c r="D2250" t="s">
        <v>7317</v>
      </c>
      <c r="E2250" t="s">
        <v>2162</v>
      </c>
      <c r="F2250" t="s">
        <v>6</v>
      </c>
      <c r="G2250" t="s">
        <v>12</v>
      </c>
      <c r="H2250">
        <f>31441*(1.01^10)</f>
        <v>34730.424245053691</v>
      </c>
      <c r="I2250">
        <f>136853*(1.01^10)</f>
        <v>151170.85172889961</v>
      </c>
      <c r="J2250" t="s">
        <v>7318</v>
      </c>
      <c r="K2250">
        <f t="shared" si="35"/>
        <v>691.49815129985961</v>
      </c>
    </row>
    <row r="2251" spans="1:11" x14ac:dyDescent="0.2">
      <c r="A2251" t="s">
        <v>356</v>
      </c>
      <c r="B2251" t="s">
        <v>653</v>
      </c>
      <c r="C2251" t="s">
        <v>6484</v>
      </c>
      <c r="D2251" t="s">
        <v>6485</v>
      </c>
      <c r="E2251" t="s">
        <v>24</v>
      </c>
      <c r="F2251" t="s">
        <v>24</v>
      </c>
      <c r="G2251" t="s">
        <v>17</v>
      </c>
      <c r="H2251">
        <f>50538*(1.01^10)</f>
        <v>55825.392974031463</v>
      </c>
      <c r="I2251">
        <f>209496*(1.01^10)</f>
        <v>231413.91678514576</v>
      </c>
      <c r="J2251" t="s">
        <v>7319</v>
      </c>
      <c r="K2251">
        <f t="shared" si="35"/>
        <v>10654.416058247964</v>
      </c>
    </row>
    <row r="2252" spans="1:11" x14ac:dyDescent="0.2">
      <c r="A2252" t="s">
        <v>356</v>
      </c>
      <c r="B2252" t="s">
        <v>671</v>
      </c>
      <c r="C2252" t="s">
        <v>7320</v>
      </c>
      <c r="D2252" t="s">
        <v>7321</v>
      </c>
      <c r="E2252" t="s">
        <v>40</v>
      </c>
      <c r="F2252" t="s">
        <v>12</v>
      </c>
      <c r="G2252" t="s">
        <v>24</v>
      </c>
      <c r="H2252">
        <f>44284*(1.01^10)</f>
        <v>48917.08620170979</v>
      </c>
      <c r="I2252">
        <f>199493*(1.01^10)</f>
        <v>220364.38166465747</v>
      </c>
      <c r="J2252" t="s">
        <v>7322</v>
      </c>
      <c r="K2252">
        <f t="shared" si="35"/>
        <v>1234.0667745465159</v>
      </c>
    </row>
    <row r="2253" spans="1:11" x14ac:dyDescent="0.2">
      <c r="A2253" t="s">
        <v>356</v>
      </c>
      <c r="B2253" t="s">
        <v>671</v>
      </c>
      <c r="C2253" t="s">
        <v>7323</v>
      </c>
      <c r="D2253" t="s">
        <v>7324</v>
      </c>
      <c r="E2253" t="s">
        <v>1106</v>
      </c>
      <c r="F2253" t="s">
        <v>12</v>
      </c>
      <c r="G2253" t="s">
        <v>24</v>
      </c>
      <c r="H2253">
        <f>49311*(1.01^10)</f>
        <v>54470.021626151916</v>
      </c>
      <c r="I2253">
        <f>251345*(1.01^10)</f>
        <v>277641.24811147928</v>
      </c>
      <c r="J2253" t="s">
        <v>7325</v>
      </c>
      <c r="K2253">
        <f t="shared" si="35"/>
        <v>1232.0897527814393</v>
      </c>
    </row>
    <row r="2254" spans="1:11" x14ac:dyDescent="0.2">
      <c r="A2254" t="s">
        <v>356</v>
      </c>
      <c r="B2254" t="s">
        <v>671</v>
      </c>
      <c r="C2254" t="s">
        <v>7326</v>
      </c>
      <c r="D2254" t="s">
        <v>7327</v>
      </c>
      <c r="E2254" t="s">
        <v>148</v>
      </c>
      <c r="F2254" t="s">
        <v>17</v>
      </c>
      <c r="G2254" t="s">
        <v>12</v>
      </c>
      <c r="H2254">
        <f>49273*(1.01^10)</f>
        <v>54428.045985386292</v>
      </c>
      <c r="I2254">
        <f>204740*(1.01^10)</f>
        <v>226160.33395669007</v>
      </c>
      <c r="J2254" t="s">
        <v>7328</v>
      </c>
      <c r="K2254">
        <f t="shared" si="35"/>
        <v>1322.3524817595942</v>
      </c>
    </row>
    <row r="2255" spans="1:11" x14ac:dyDescent="0.2">
      <c r="A2255" t="s">
        <v>356</v>
      </c>
      <c r="B2255" t="s">
        <v>671</v>
      </c>
      <c r="C2255" t="s">
        <v>7329</v>
      </c>
      <c r="D2255" t="s">
        <v>7330</v>
      </c>
      <c r="E2255" t="s">
        <v>2395</v>
      </c>
      <c r="F2255" t="s">
        <v>17</v>
      </c>
      <c r="G2255" t="s">
        <v>24</v>
      </c>
      <c r="H2255">
        <f>43218*(1.01^10)</f>
        <v>47739.559016021449</v>
      </c>
      <c r="I2255">
        <f>205333*(1.01^10)</f>
        <v>226815.3748770589</v>
      </c>
      <c r="J2255" t="s">
        <v>7331</v>
      </c>
      <c r="K2255">
        <f t="shared" si="35"/>
        <v>1054.3331550076211</v>
      </c>
    </row>
    <row r="2256" spans="1:11" x14ac:dyDescent="0.2">
      <c r="A2256" t="s">
        <v>356</v>
      </c>
      <c r="B2256" t="s">
        <v>671</v>
      </c>
      <c r="C2256" t="s">
        <v>7332</v>
      </c>
      <c r="D2256" t="s">
        <v>7333</v>
      </c>
      <c r="E2256" t="s">
        <v>36</v>
      </c>
      <c r="F2256" t="s">
        <v>158</v>
      </c>
      <c r="G2256" t="s">
        <v>24</v>
      </c>
      <c r="H2256">
        <f>56241*(1.01^10)</f>
        <v>62125.052955251565</v>
      </c>
      <c r="I2256">
        <f>275388*(1.01^10)</f>
        <v>304199.67787274084</v>
      </c>
      <c r="J2256" t="s">
        <v>7334</v>
      </c>
      <c r="K2256">
        <f t="shared" si="35"/>
        <v>1203.9652610045432</v>
      </c>
    </row>
    <row r="2257" spans="1:11" x14ac:dyDescent="0.2">
      <c r="A2257" t="s">
        <v>356</v>
      </c>
      <c r="B2257" t="s">
        <v>671</v>
      </c>
      <c r="C2257" t="s">
        <v>7335</v>
      </c>
      <c r="D2257" t="s">
        <v>7336</v>
      </c>
      <c r="E2257" t="s">
        <v>2795</v>
      </c>
      <c r="F2257" t="s">
        <v>11</v>
      </c>
      <c r="G2257" t="s">
        <v>24</v>
      </c>
      <c r="H2257">
        <f>43168*(1.01^10)</f>
        <v>47684.327909750886</v>
      </c>
      <c r="I2257">
        <f>202080*(1.01^10)</f>
        <v>223222.03910309626</v>
      </c>
      <c r="J2257" t="s">
        <v>7337</v>
      </c>
      <c r="K2257">
        <f t="shared" si="35"/>
        <v>1290.0140003996014</v>
      </c>
    </row>
    <row r="2258" spans="1:11" x14ac:dyDescent="0.2">
      <c r="A2258" t="s">
        <v>356</v>
      </c>
      <c r="B2258" t="s">
        <v>671</v>
      </c>
      <c r="C2258" t="s">
        <v>7338</v>
      </c>
      <c r="D2258" t="s">
        <v>7339</v>
      </c>
      <c r="E2258" t="s">
        <v>3231</v>
      </c>
      <c r="F2258" t="s">
        <v>92</v>
      </c>
      <c r="G2258" t="s">
        <v>17</v>
      </c>
      <c r="H2258">
        <f>75068*(1.01^10)</f>
        <v>82921.773710368318</v>
      </c>
      <c r="I2258">
        <f>343830*(1.01^10)</f>
        <v>379802.22538013454</v>
      </c>
      <c r="J2258" t="s">
        <v>7340</v>
      </c>
      <c r="K2258">
        <f t="shared" si="35"/>
        <v>705.56777838543587</v>
      </c>
    </row>
    <row r="2259" spans="1:11" x14ac:dyDescent="0.2">
      <c r="A2259" t="s">
        <v>356</v>
      </c>
      <c r="B2259" t="s">
        <v>671</v>
      </c>
      <c r="C2259" t="s">
        <v>7341</v>
      </c>
      <c r="D2259" t="s">
        <v>7342</v>
      </c>
      <c r="E2259" t="s">
        <v>784</v>
      </c>
      <c r="F2259" t="s">
        <v>12</v>
      </c>
      <c r="G2259" t="s">
        <v>24</v>
      </c>
      <c r="H2259">
        <f>32154*(1.01^10)</f>
        <v>35518.019820471876</v>
      </c>
      <c r="I2259">
        <f>143906*(1.01^10)</f>
        <v>158961.75157942483</v>
      </c>
      <c r="J2259" t="s">
        <v>7343</v>
      </c>
      <c r="K2259">
        <f t="shared" si="35"/>
        <v>755.906995315161</v>
      </c>
    </row>
    <row r="2260" spans="1:11" x14ac:dyDescent="0.2">
      <c r="A2260" t="s">
        <v>356</v>
      </c>
      <c r="B2260" t="s">
        <v>671</v>
      </c>
      <c r="C2260" t="s">
        <v>7344</v>
      </c>
      <c r="D2260" t="s">
        <v>7345</v>
      </c>
      <c r="E2260" t="s">
        <v>651</v>
      </c>
      <c r="F2260" t="s">
        <v>1580</v>
      </c>
      <c r="G2260" t="s">
        <v>5</v>
      </c>
      <c r="H2260">
        <f>47951*(1.01^10)</f>
        <v>52967.735535592677</v>
      </c>
      <c r="I2260">
        <f>210699*(1.01^10)</f>
        <v>232742.77720201542</v>
      </c>
      <c r="J2260" t="s">
        <v>7346</v>
      </c>
      <c r="K2260">
        <f t="shared" si="35"/>
        <v>574.0537540366945</v>
      </c>
    </row>
    <row r="2261" spans="1:11" x14ac:dyDescent="0.2">
      <c r="A2261" t="s">
        <v>356</v>
      </c>
      <c r="B2261" t="s">
        <v>671</v>
      </c>
      <c r="C2261" t="s">
        <v>7347</v>
      </c>
      <c r="D2261" t="s">
        <v>7348</v>
      </c>
      <c r="E2261" t="s">
        <v>436</v>
      </c>
      <c r="F2261" t="s">
        <v>11</v>
      </c>
      <c r="G2261" t="s">
        <v>11</v>
      </c>
      <c r="H2261">
        <f>33629*(1.01^10)</f>
        <v>37147.337455453402</v>
      </c>
      <c r="I2261">
        <f>156365*(1.01^10)</f>
        <v>172724.23863992302</v>
      </c>
      <c r="J2261" t="s">
        <v>7349</v>
      </c>
      <c r="K2261">
        <f t="shared" si="35"/>
        <v>751.86650561033957</v>
      </c>
    </row>
    <row r="2262" spans="1:11" x14ac:dyDescent="0.2">
      <c r="A2262" t="s">
        <v>356</v>
      </c>
      <c r="B2262" t="s">
        <v>671</v>
      </c>
      <c r="C2262" t="s">
        <v>7350</v>
      </c>
      <c r="D2262" t="s">
        <v>7351</v>
      </c>
      <c r="E2262" t="s">
        <v>1944</v>
      </c>
      <c r="F2262" t="s">
        <v>726</v>
      </c>
      <c r="G2262" t="s">
        <v>11</v>
      </c>
      <c r="H2262">
        <f>58815*(1.01^10)</f>
        <v>64968.350306060005</v>
      </c>
      <c r="I2262">
        <f>274627*(1.01^10)</f>
        <v>303359.0604353029</v>
      </c>
      <c r="J2262" t="s">
        <v>7352</v>
      </c>
      <c r="K2262">
        <f t="shared" si="35"/>
        <v>1224.7174410091211</v>
      </c>
    </row>
    <row r="2263" spans="1:11" x14ac:dyDescent="0.2">
      <c r="A2263" t="s">
        <v>356</v>
      </c>
      <c r="B2263" t="s">
        <v>671</v>
      </c>
      <c r="C2263" t="s">
        <v>7353</v>
      </c>
      <c r="D2263" t="s">
        <v>7354</v>
      </c>
      <c r="E2263" t="s">
        <v>777</v>
      </c>
      <c r="F2263" t="s">
        <v>411</v>
      </c>
      <c r="G2263" t="s">
        <v>24</v>
      </c>
      <c r="H2263">
        <f>59567*(1.01^10)</f>
        <v>65799.026144369229</v>
      </c>
      <c r="I2263">
        <f>269813*(1.01^10)</f>
        <v>298041.40952357341</v>
      </c>
      <c r="J2263" t="s">
        <v>7355</v>
      </c>
      <c r="K2263">
        <f t="shared" si="35"/>
        <v>856.45691652712173</v>
      </c>
    </row>
    <row r="2264" spans="1:11" x14ac:dyDescent="0.2">
      <c r="A2264" t="s">
        <v>356</v>
      </c>
      <c r="B2264" t="s">
        <v>671</v>
      </c>
      <c r="C2264" t="s">
        <v>7356</v>
      </c>
      <c r="D2264" t="s">
        <v>7357</v>
      </c>
      <c r="E2264" t="s">
        <v>23</v>
      </c>
      <c r="F2264" t="s">
        <v>158</v>
      </c>
      <c r="G2264" t="s">
        <v>108</v>
      </c>
      <c r="H2264">
        <f>80508*(1.01^10)</f>
        <v>88930.918072605273</v>
      </c>
      <c r="I2264">
        <f>392517*(1.01^10)</f>
        <v>433582.96280002984</v>
      </c>
      <c r="J2264" t="s">
        <v>7358</v>
      </c>
      <c r="K2264">
        <f t="shared" si="35"/>
        <v>3850.4335180716803</v>
      </c>
    </row>
    <row r="2265" spans="1:11" x14ac:dyDescent="0.2">
      <c r="A2265" t="s">
        <v>356</v>
      </c>
      <c r="B2265" t="s">
        <v>671</v>
      </c>
      <c r="C2265" t="s">
        <v>7359</v>
      </c>
      <c r="D2265" t="s">
        <v>7360</v>
      </c>
      <c r="E2265" t="s">
        <v>829</v>
      </c>
      <c r="F2265" t="s">
        <v>77</v>
      </c>
      <c r="G2265" t="s">
        <v>12</v>
      </c>
      <c r="H2265">
        <f>44913*(1.01^10)</f>
        <v>49611.893518593439</v>
      </c>
      <c r="I2265">
        <f>210105*(1.01^10)</f>
        <v>232086.63165952117</v>
      </c>
      <c r="J2265" t="s">
        <v>7361</v>
      </c>
      <c r="K2265">
        <f t="shared" si="35"/>
        <v>1351.1371177838182</v>
      </c>
    </row>
    <row r="2266" spans="1:11" x14ac:dyDescent="0.2">
      <c r="A2266" t="s">
        <v>356</v>
      </c>
      <c r="B2266" t="s">
        <v>671</v>
      </c>
      <c r="C2266" t="s">
        <v>7362</v>
      </c>
      <c r="D2266" t="s">
        <v>7363</v>
      </c>
      <c r="E2266" t="s">
        <v>137</v>
      </c>
      <c r="F2266" t="s">
        <v>152</v>
      </c>
      <c r="G2266" t="s">
        <v>17</v>
      </c>
      <c r="H2266">
        <f>69545*(1.01^10)</f>
        <v>76820.945711722234</v>
      </c>
      <c r="I2266">
        <f>359071*(1.01^10)</f>
        <v>396637.77119352669</v>
      </c>
      <c r="J2266" t="s">
        <v>7364</v>
      </c>
      <c r="K2266">
        <f t="shared" si="35"/>
        <v>1720.8971086625677</v>
      </c>
    </row>
    <row r="2267" spans="1:11" x14ac:dyDescent="0.2">
      <c r="A2267" t="s">
        <v>356</v>
      </c>
      <c r="B2267" t="s">
        <v>671</v>
      </c>
      <c r="C2267" t="s">
        <v>6484</v>
      </c>
      <c r="D2267" t="s">
        <v>6485</v>
      </c>
      <c r="E2267" t="s">
        <v>24</v>
      </c>
      <c r="F2267" t="s">
        <v>24</v>
      </c>
      <c r="G2267" t="s">
        <v>17</v>
      </c>
      <c r="H2267">
        <f>59346*(1.01^10)</f>
        <v>65554.90465465335</v>
      </c>
      <c r="I2267">
        <f>289533*(1.01^10)</f>
        <v>319824.55783668236</v>
      </c>
      <c r="J2267" t="s">
        <v>7365</v>
      </c>
      <c r="K2267">
        <f t="shared" si="35"/>
        <v>13947.86558380647</v>
      </c>
    </row>
    <row r="2268" spans="1:11" x14ac:dyDescent="0.2">
      <c r="A2268" t="s">
        <v>356</v>
      </c>
      <c r="B2268" t="s">
        <v>94</v>
      </c>
      <c r="C2268" t="s">
        <v>7366</v>
      </c>
      <c r="D2268" t="s">
        <v>7367</v>
      </c>
      <c r="E2268" t="s">
        <v>1027</v>
      </c>
      <c r="F2268" t="s">
        <v>405</v>
      </c>
      <c r="G2268" t="s">
        <v>152</v>
      </c>
      <c r="H2268">
        <f>54005*(1.01^10)</f>
        <v>59655.117882832114</v>
      </c>
      <c r="I2268">
        <f>274111*(1.01^10)</f>
        <v>302789.07541859074</v>
      </c>
      <c r="J2268" t="s">
        <v>7368</v>
      </c>
      <c r="K2268">
        <f t="shared" si="35"/>
        <v>2111.3028199869241</v>
      </c>
    </row>
    <row r="2269" spans="1:11" x14ac:dyDescent="0.2">
      <c r="A2269" t="s">
        <v>356</v>
      </c>
      <c r="B2269" t="s">
        <v>94</v>
      </c>
      <c r="C2269" t="s">
        <v>7369</v>
      </c>
      <c r="D2269" t="s">
        <v>7370</v>
      </c>
      <c r="E2269" t="s">
        <v>726</v>
      </c>
      <c r="F2269" t="s">
        <v>744</v>
      </c>
      <c r="G2269" t="s">
        <v>108</v>
      </c>
      <c r="H2269">
        <f>51412*(1.01^10)</f>
        <v>56790.832711640862</v>
      </c>
      <c r="I2269">
        <f>284072*(1.01^10)</f>
        <v>313792.21640981175</v>
      </c>
      <c r="J2269" t="s">
        <v>7371</v>
      </c>
      <c r="K2269">
        <f t="shared" si="35"/>
        <v>3311.3938077891967</v>
      </c>
    </row>
    <row r="2270" spans="1:11" x14ac:dyDescent="0.2">
      <c r="A2270" t="s">
        <v>356</v>
      </c>
      <c r="B2270" t="s">
        <v>94</v>
      </c>
      <c r="C2270" t="s">
        <v>7372</v>
      </c>
      <c r="D2270" t="s">
        <v>7373</v>
      </c>
      <c r="E2270" t="s">
        <v>333</v>
      </c>
      <c r="F2270" t="s">
        <v>382</v>
      </c>
      <c r="G2270" t="s">
        <v>5</v>
      </c>
      <c r="H2270">
        <f>36628*(1.01^10)</f>
        <v>40460.099209561609</v>
      </c>
      <c r="I2270">
        <f>179908*(1.01^10)</f>
        <v>198730.35733847902</v>
      </c>
      <c r="J2270" t="s">
        <v>7374</v>
      </c>
      <c r="K2270">
        <f t="shared" si="35"/>
        <v>1423.6938171914931</v>
      </c>
    </row>
    <row r="2271" spans="1:11" x14ac:dyDescent="0.2">
      <c r="A2271" t="s">
        <v>356</v>
      </c>
      <c r="B2271" t="s">
        <v>94</v>
      </c>
      <c r="C2271" t="s">
        <v>7375</v>
      </c>
      <c r="D2271" t="s">
        <v>7376</v>
      </c>
      <c r="E2271" t="s">
        <v>726</v>
      </c>
      <c r="F2271" t="s">
        <v>108</v>
      </c>
      <c r="G2271" t="s">
        <v>458</v>
      </c>
      <c r="H2271">
        <f>53619*(1.01^10)</f>
        <v>59228.733742423385</v>
      </c>
      <c r="I2271">
        <f>278922*(1.01^10)</f>
        <v>308103.41246394406</v>
      </c>
      <c r="J2271" t="s">
        <v>7377</v>
      </c>
      <c r="K2271">
        <f t="shared" si="35"/>
        <v>2279.5403826031397</v>
      </c>
    </row>
    <row r="2272" spans="1:11" x14ac:dyDescent="0.2">
      <c r="A2272" t="s">
        <v>356</v>
      </c>
      <c r="B2272" t="s">
        <v>94</v>
      </c>
      <c r="C2272" t="s">
        <v>7378</v>
      </c>
      <c r="D2272" t="s">
        <v>7379</v>
      </c>
      <c r="E2272" t="s">
        <v>1027</v>
      </c>
      <c r="F2272" t="s">
        <v>5</v>
      </c>
      <c r="G2272" t="s">
        <v>158</v>
      </c>
      <c r="H2272">
        <f>39021*(1.01^10)</f>
        <v>43103.459955670623</v>
      </c>
      <c r="I2272">
        <f>195627*(1.01^10)</f>
        <v>216093.91252781774</v>
      </c>
      <c r="J2272" t="s">
        <v>7380</v>
      </c>
      <c r="K2272">
        <f t="shared" si="35"/>
        <v>1557.4894682603133</v>
      </c>
    </row>
    <row r="2273" spans="1:11" x14ac:dyDescent="0.2">
      <c r="A2273" t="s">
        <v>356</v>
      </c>
      <c r="B2273" t="s">
        <v>94</v>
      </c>
      <c r="C2273" t="s">
        <v>7381</v>
      </c>
      <c r="D2273" t="s">
        <v>7382</v>
      </c>
      <c r="E2273" t="s">
        <v>72</v>
      </c>
      <c r="F2273" t="s">
        <v>185</v>
      </c>
      <c r="G2273" t="s">
        <v>405</v>
      </c>
      <c r="H2273">
        <f>50129*(1.01^10)</f>
        <v>55373.602524738286</v>
      </c>
      <c r="I2273">
        <f>265336*(1.01^10)</f>
        <v>293096.0162681074</v>
      </c>
      <c r="J2273" t="s">
        <v>7383</v>
      </c>
      <c r="K2273">
        <f t="shared" si="35"/>
        <v>2562.2477348667135</v>
      </c>
    </row>
    <row r="2274" spans="1:11" x14ac:dyDescent="0.2">
      <c r="A2274" t="s">
        <v>356</v>
      </c>
      <c r="B2274" t="s">
        <v>94</v>
      </c>
      <c r="C2274" t="s">
        <v>7384</v>
      </c>
      <c r="D2274" t="s">
        <v>7385</v>
      </c>
      <c r="E2274" t="s">
        <v>498</v>
      </c>
      <c r="F2274" t="s">
        <v>405</v>
      </c>
      <c r="G2274" t="s">
        <v>24</v>
      </c>
      <c r="H2274">
        <f>70216*(1.01^10)</f>
        <v>77562.147157873158</v>
      </c>
      <c r="I2274">
        <f>335831*(1.01^10)</f>
        <v>370966.35299897031</v>
      </c>
      <c r="J2274" t="s">
        <v>7386</v>
      </c>
      <c r="K2274">
        <f t="shared" si="35"/>
        <v>1785.4696662457939</v>
      </c>
    </row>
    <row r="2275" spans="1:11" x14ac:dyDescent="0.2">
      <c r="A2275" t="s">
        <v>356</v>
      </c>
      <c r="B2275" t="s">
        <v>94</v>
      </c>
      <c r="C2275" t="s">
        <v>7387</v>
      </c>
      <c r="D2275" t="s">
        <v>7388</v>
      </c>
      <c r="E2275" t="s">
        <v>631</v>
      </c>
      <c r="F2275" t="s">
        <v>356</v>
      </c>
      <c r="G2275" t="s">
        <v>24</v>
      </c>
      <c r="H2275">
        <f>67889*(1.01^10)</f>
        <v>74991.691472041275</v>
      </c>
      <c r="I2275">
        <f>310461*(1.01^10)</f>
        <v>342942.08967728802</v>
      </c>
      <c r="J2275" t="s">
        <v>7389</v>
      </c>
      <c r="K2275">
        <f t="shared" si="35"/>
        <v>1030.6805999737719</v>
      </c>
    </row>
    <row r="2276" spans="1:11" x14ac:dyDescent="0.2">
      <c r="A2276" t="s">
        <v>356</v>
      </c>
      <c r="B2276" t="s">
        <v>94</v>
      </c>
      <c r="C2276" t="s">
        <v>7390</v>
      </c>
      <c r="D2276" t="s">
        <v>7391</v>
      </c>
      <c r="E2276" t="s">
        <v>1580</v>
      </c>
      <c r="F2276" t="s">
        <v>158</v>
      </c>
      <c r="G2276" t="s">
        <v>24</v>
      </c>
      <c r="H2276">
        <f>45336*(1.01^10)</f>
        <v>50079.148677642377</v>
      </c>
      <c r="I2276">
        <f>202071*(1.01^10)</f>
        <v>223212.09750396755</v>
      </c>
      <c r="J2276" t="s">
        <v>7392</v>
      </c>
      <c r="K2276">
        <f t="shared" si="35"/>
        <v>1494.9088315736306</v>
      </c>
    </row>
    <row r="2277" spans="1:11" x14ac:dyDescent="0.2">
      <c r="A2277" t="s">
        <v>356</v>
      </c>
      <c r="B2277" t="s">
        <v>94</v>
      </c>
      <c r="C2277" t="s">
        <v>7393</v>
      </c>
      <c r="D2277" t="s">
        <v>7394</v>
      </c>
      <c r="E2277" t="s">
        <v>1027</v>
      </c>
      <c r="F2277" t="s">
        <v>274</v>
      </c>
      <c r="G2277" t="s">
        <v>24</v>
      </c>
      <c r="H2277">
        <f>37445*(1.01^10)</f>
        <v>41362.575486022564</v>
      </c>
      <c r="I2277">
        <f>158024*(1.01^10)</f>
        <v>174556.80674598023</v>
      </c>
      <c r="J2277" t="s">
        <v>7395</v>
      </c>
      <c r="K2277">
        <f t="shared" si="35"/>
        <v>1038.8918517166617</v>
      </c>
    </row>
    <row r="2278" spans="1:11" x14ac:dyDescent="0.2">
      <c r="A2278" t="s">
        <v>356</v>
      </c>
      <c r="B2278" t="s">
        <v>94</v>
      </c>
      <c r="C2278" t="s">
        <v>7396</v>
      </c>
      <c r="D2278" t="s">
        <v>7397</v>
      </c>
      <c r="E2278" t="s">
        <v>1656</v>
      </c>
      <c r="F2278" t="s">
        <v>158</v>
      </c>
      <c r="G2278" t="s">
        <v>24</v>
      </c>
      <c r="H2278">
        <f>44505*(1.01^10)</f>
        <v>49161.207691425669</v>
      </c>
      <c r="I2278">
        <f>190885*(1.01^10)</f>
        <v>210855.79440911781</v>
      </c>
      <c r="J2278" t="s">
        <v>7398</v>
      </c>
      <c r="K2278">
        <f t="shared" si="35"/>
        <v>1058.9606406582927</v>
      </c>
    </row>
    <row r="2279" spans="1:11" x14ac:dyDescent="0.2">
      <c r="A2279" t="s">
        <v>356</v>
      </c>
      <c r="B2279" t="s">
        <v>94</v>
      </c>
      <c r="C2279" t="s">
        <v>7399</v>
      </c>
      <c r="D2279" t="s">
        <v>7400</v>
      </c>
      <c r="E2279" t="s">
        <v>16</v>
      </c>
      <c r="F2279" t="s">
        <v>318</v>
      </c>
      <c r="G2279" t="s">
        <v>24</v>
      </c>
      <c r="H2279">
        <f>60928*(1.01^10)</f>
        <v>67302.41685705389</v>
      </c>
      <c r="I2279">
        <f>252477*(1.01^10)</f>
        <v>278891.68035744474</v>
      </c>
      <c r="J2279" t="s">
        <v>7401</v>
      </c>
      <c r="K2279">
        <f t="shared" si="35"/>
        <v>1233.0129799613987</v>
      </c>
    </row>
    <row r="2280" spans="1:11" x14ac:dyDescent="0.2">
      <c r="A2280" t="s">
        <v>356</v>
      </c>
      <c r="B2280" t="s">
        <v>94</v>
      </c>
      <c r="C2280" t="s">
        <v>7402</v>
      </c>
      <c r="D2280" t="s">
        <v>7403</v>
      </c>
      <c r="E2280" t="s">
        <v>168</v>
      </c>
      <c r="F2280" t="s">
        <v>405</v>
      </c>
      <c r="G2280" t="s">
        <v>24</v>
      </c>
      <c r="H2280">
        <f>88520*(1.01^10)</f>
        <v>97781.150541399838</v>
      </c>
      <c r="I2280">
        <f>363976*(1.01^10)</f>
        <v>402055.94271866867</v>
      </c>
      <c r="J2280" t="s">
        <v>7404</v>
      </c>
      <c r="K2280">
        <f t="shared" si="35"/>
        <v>1292.5759171058289</v>
      </c>
    </row>
    <row r="2281" spans="1:11" x14ac:dyDescent="0.2">
      <c r="A2281" t="s">
        <v>356</v>
      </c>
      <c r="B2281" t="s">
        <v>94</v>
      </c>
      <c r="C2281" t="s">
        <v>7405</v>
      </c>
      <c r="D2281" t="s">
        <v>7406</v>
      </c>
      <c r="E2281" t="s">
        <v>164</v>
      </c>
      <c r="F2281" t="s">
        <v>158</v>
      </c>
      <c r="G2281" t="s">
        <v>17</v>
      </c>
      <c r="H2281">
        <f>45147*(1.01^10)</f>
        <v>49870.375095939664</v>
      </c>
      <c r="I2281">
        <f>189105*(1.01^10)</f>
        <v>208889.56702588589</v>
      </c>
      <c r="J2281" t="s">
        <v>7407</v>
      </c>
      <c r="K2281">
        <f t="shared" si="35"/>
        <v>1232.2617050983397</v>
      </c>
    </row>
    <row r="2282" spans="1:11" x14ac:dyDescent="0.2">
      <c r="A2282" t="s">
        <v>356</v>
      </c>
      <c r="B2282" t="s">
        <v>94</v>
      </c>
      <c r="C2282" t="s">
        <v>7408</v>
      </c>
      <c r="D2282" t="s">
        <v>7409</v>
      </c>
      <c r="E2282" t="s">
        <v>766</v>
      </c>
      <c r="F2282" t="s">
        <v>92</v>
      </c>
      <c r="G2282" t="s">
        <v>24</v>
      </c>
      <c r="H2282">
        <f>54029*(1.01^10)</f>
        <v>59681.628813841984</v>
      </c>
      <c r="I2282">
        <f>234565*(1.01^10)</f>
        <v>259105.68884707923</v>
      </c>
      <c r="J2282" t="s">
        <v>7410</v>
      </c>
      <c r="K2282">
        <f t="shared" si="35"/>
        <v>1509.3702385430715</v>
      </c>
    </row>
    <row r="2283" spans="1:11" x14ac:dyDescent="0.2">
      <c r="A2283" t="s">
        <v>356</v>
      </c>
      <c r="B2283" t="s">
        <v>94</v>
      </c>
      <c r="C2283" t="s">
        <v>7411</v>
      </c>
      <c r="D2283" t="s">
        <v>7412</v>
      </c>
      <c r="E2283" t="s">
        <v>626</v>
      </c>
      <c r="F2283" t="s">
        <v>744</v>
      </c>
      <c r="G2283" t="s">
        <v>24</v>
      </c>
      <c r="H2283">
        <f>52954*(1.01^10)</f>
        <v>58494.160029024933</v>
      </c>
      <c r="I2283">
        <f>227586*(1.01^10)</f>
        <v>251396.53103383444</v>
      </c>
      <c r="J2283" t="s">
        <v>7413</v>
      </c>
      <c r="K2283">
        <f t="shared" si="35"/>
        <v>869.04415569004118</v>
      </c>
    </row>
    <row r="2284" spans="1:11" x14ac:dyDescent="0.2">
      <c r="A2284" t="s">
        <v>356</v>
      </c>
      <c r="B2284" t="s">
        <v>94</v>
      </c>
      <c r="C2284" t="s">
        <v>7414</v>
      </c>
      <c r="D2284" t="s">
        <v>7415</v>
      </c>
      <c r="E2284" t="s">
        <v>2777</v>
      </c>
      <c r="F2284" t="s">
        <v>411</v>
      </c>
      <c r="G2284" t="s">
        <v>24</v>
      </c>
      <c r="H2284">
        <f>65580*(1.01^10)</f>
        <v>72441.118984466812</v>
      </c>
      <c r="I2284">
        <f>273332*(1.01^10)</f>
        <v>301928.57478289539</v>
      </c>
      <c r="J2284" t="s">
        <v>7416</v>
      </c>
      <c r="K2284">
        <f t="shared" si="35"/>
        <v>1014.389881631326</v>
      </c>
    </row>
    <row r="2285" spans="1:11" x14ac:dyDescent="0.2">
      <c r="A2285" t="s">
        <v>356</v>
      </c>
      <c r="B2285" t="s">
        <v>94</v>
      </c>
      <c r="C2285" t="s">
        <v>7417</v>
      </c>
      <c r="D2285" t="s">
        <v>7418</v>
      </c>
      <c r="E2285" t="s">
        <v>498</v>
      </c>
      <c r="F2285" t="s">
        <v>744</v>
      </c>
      <c r="G2285" t="s">
        <v>24</v>
      </c>
      <c r="H2285">
        <f>48963*(1.01^10)</f>
        <v>54085.613126508819</v>
      </c>
      <c r="I2285">
        <f>220145*(1.01^10)</f>
        <v>243177.03779864966</v>
      </c>
      <c r="J2285" t="s">
        <v>7419</v>
      </c>
      <c r="K2285">
        <f t="shared" si="35"/>
        <v>1117.0371765878465</v>
      </c>
    </row>
    <row r="2286" spans="1:11" x14ac:dyDescent="0.2">
      <c r="A2286" t="s">
        <v>356</v>
      </c>
      <c r="B2286" t="s">
        <v>94</v>
      </c>
      <c r="C2286" t="s">
        <v>7420</v>
      </c>
      <c r="D2286" t="s">
        <v>7421</v>
      </c>
      <c r="E2286" t="s">
        <v>1912</v>
      </c>
      <c r="F2286" t="s">
        <v>318</v>
      </c>
      <c r="G2286" t="s">
        <v>744</v>
      </c>
      <c r="H2286">
        <f>105958*(1.01^10)</f>
        <v>117043.55116432044</v>
      </c>
      <c r="I2286">
        <f>446887*(1.01^10)</f>
        <v>493641.26775863708</v>
      </c>
      <c r="J2286" t="s">
        <v>7422</v>
      </c>
      <c r="K2286">
        <f t="shared" si="35"/>
        <v>1775.409370853158</v>
      </c>
    </row>
    <row r="2287" spans="1:11" x14ac:dyDescent="0.2">
      <c r="A2287" t="s">
        <v>356</v>
      </c>
      <c r="B2287" t="s">
        <v>94</v>
      </c>
      <c r="C2287" t="s">
        <v>7423</v>
      </c>
      <c r="D2287" t="s">
        <v>7424</v>
      </c>
      <c r="E2287" t="s">
        <v>3122</v>
      </c>
      <c r="F2287" t="s">
        <v>152</v>
      </c>
      <c r="G2287" t="s">
        <v>24</v>
      </c>
      <c r="H2287">
        <f>62609*(1.01^10)</f>
        <v>69159.286649870119</v>
      </c>
      <c r="I2287">
        <f>257571*(1.01^10)</f>
        <v>284518.62546428939</v>
      </c>
      <c r="J2287" t="s">
        <v>7425</v>
      </c>
      <c r="K2287">
        <f t="shared" si="35"/>
        <v>1125.8220767597074</v>
      </c>
    </row>
    <row r="2288" spans="1:11" x14ac:dyDescent="0.2">
      <c r="A2288" t="s">
        <v>356</v>
      </c>
      <c r="B2288" t="s">
        <v>94</v>
      </c>
      <c r="C2288" t="s">
        <v>7426</v>
      </c>
      <c r="D2288" t="s">
        <v>7427</v>
      </c>
      <c r="E2288" t="s">
        <v>56</v>
      </c>
      <c r="F2288" t="s">
        <v>108</v>
      </c>
      <c r="G2288" t="s">
        <v>24</v>
      </c>
      <c r="H2288">
        <f>53962*(1.01^10)</f>
        <v>59607.619131439431</v>
      </c>
      <c r="I2288">
        <f>226859*(1.01^10)</f>
        <v>250593.4707486605</v>
      </c>
      <c r="J2288" t="s">
        <v>7428</v>
      </c>
      <c r="K2288">
        <f t="shared" si="35"/>
        <v>1100.6326921868924</v>
      </c>
    </row>
    <row r="2289" spans="1:11" x14ac:dyDescent="0.2">
      <c r="A2289" t="s">
        <v>356</v>
      </c>
      <c r="B2289" t="s">
        <v>94</v>
      </c>
      <c r="C2289" t="s">
        <v>7429</v>
      </c>
      <c r="D2289" t="s">
        <v>7430</v>
      </c>
      <c r="E2289" t="s">
        <v>3122</v>
      </c>
      <c r="F2289" t="s">
        <v>405</v>
      </c>
      <c r="G2289" t="s">
        <v>12</v>
      </c>
      <c r="H2289">
        <f>68499*(1.01^10)</f>
        <v>75665.510968542119</v>
      </c>
      <c r="I2289">
        <f>319322*(1.01^10)</f>
        <v>352730.14633055672</v>
      </c>
      <c r="J2289" t="s">
        <v>7431</v>
      </c>
      <c r="K2289">
        <f t="shared" si="35"/>
        <v>2033.4503199266055</v>
      </c>
    </row>
    <row r="2290" spans="1:11" x14ac:dyDescent="0.2">
      <c r="A2290" t="s">
        <v>356</v>
      </c>
      <c r="B2290" t="s">
        <v>94</v>
      </c>
      <c r="C2290" t="s">
        <v>7432</v>
      </c>
      <c r="D2290" t="s">
        <v>7433</v>
      </c>
      <c r="E2290" t="s">
        <v>264</v>
      </c>
      <c r="F2290" t="s">
        <v>405</v>
      </c>
      <c r="G2290" t="s">
        <v>24</v>
      </c>
      <c r="H2290">
        <f>55268*(1.01^10)</f>
        <v>61050.255627226463</v>
      </c>
      <c r="I2290">
        <f>250458*(1.01^10)</f>
        <v>276661.44828623952</v>
      </c>
      <c r="J2290" t="s">
        <v>7434</v>
      </c>
      <c r="K2290">
        <f t="shared" si="35"/>
        <v>1454.67502472359</v>
      </c>
    </row>
    <row r="2291" spans="1:11" x14ac:dyDescent="0.2">
      <c r="A2291" t="s">
        <v>356</v>
      </c>
      <c r="B2291" t="s">
        <v>94</v>
      </c>
      <c r="C2291" t="s">
        <v>7435</v>
      </c>
      <c r="D2291" t="s">
        <v>7436</v>
      </c>
      <c r="E2291" t="s">
        <v>91</v>
      </c>
      <c r="F2291" t="s">
        <v>24</v>
      </c>
      <c r="G2291" t="s">
        <v>12</v>
      </c>
      <c r="H2291">
        <f>39832*(1.01^10)</f>
        <v>43999.308499379105</v>
      </c>
      <c r="I2291">
        <f>176368*(1.01^10)</f>
        <v>194819.99501452336</v>
      </c>
      <c r="J2291" t="s">
        <v>7437</v>
      </c>
      <c r="K2291">
        <f t="shared" si="35"/>
        <v>1253.2962734797679</v>
      </c>
    </row>
    <row r="2292" spans="1:11" x14ac:dyDescent="0.2">
      <c r="A2292" t="s">
        <v>356</v>
      </c>
      <c r="B2292" t="s">
        <v>94</v>
      </c>
      <c r="C2292" t="s">
        <v>7438</v>
      </c>
      <c r="D2292" t="s">
        <v>7439</v>
      </c>
      <c r="E2292" t="s">
        <v>253</v>
      </c>
      <c r="F2292" t="s">
        <v>405</v>
      </c>
      <c r="G2292" t="s">
        <v>24</v>
      </c>
      <c r="H2292">
        <f>40102*(1.01^10)</f>
        <v>44297.556473240133</v>
      </c>
      <c r="I2292">
        <f>172702*(1.01^10)</f>
        <v>190770.45030276588</v>
      </c>
      <c r="J2292" t="s">
        <v>7440</v>
      </c>
      <c r="K2292">
        <f t="shared" si="35"/>
        <v>1076.7972578691456</v>
      </c>
    </row>
    <row r="2293" spans="1:11" x14ac:dyDescent="0.2">
      <c r="A2293" t="s">
        <v>356</v>
      </c>
      <c r="B2293" t="s">
        <v>94</v>
      </c>
      <c r="C2293" t="s">
        <v>7441</v>
      </c>
      <c r="D2293" t="s">
        <v>7442</v>
      </c>
      <c r="E2293" t="s">
        <v>1441</v>
      </c>
      <c r="F2293" t="s">
        <v>92</v>
      </c>
      <c r="G2293" t="s">
        <v>24</v>
      </c>
      <c r="H2293">
        <f>60732*(1.01^10)</f>
        <v>67085.910920473281</v>
      </c>
      <c r="I2293">
        <f>257466*(1.01^10)</f>
        <v>284402.64014112123</v>
      </c>
      <c r="J2293" t="s">
        <v>7443</v>
      </c>
      <c r="K2293">
        <f t="shared" si="35"/>
        <v>1047.5029006488276</v>
      </c>
    </row>
    <row r="2294" spans="1:11" x14ac:dyDescent="0.2">
      <c r="A2294" t="s">
        <v>356</v>
      </c>
      <c r="B2294" t="s">
        <v>94</v>
      </c>
      <c r="C2294" t="s">
        <v>6484</v>
      </c>
      <c r="D2294" t="s">
        <v>6485</v>
      </c>
      <c r="E2294" t="s">
        <v>24</v>
      </c>
      <c r="F2294" t="s">
        <v>24</v>
      </c>
      <c r="G2294" t="s">
        <v>6</v>
      </c>
      <c r="H2294">
        <f>117471*(1.01^10)</f>
        <v>129761.06569417963</v>
      </c>
      <c r="I2294">
        <f>559740*(1.01^10)</f>
        <v>618301.18847766775</v>
      </c>
      <c r="J2294" t="s">
        <v>7444</v>
      </c>
      <c r="K2294">
        <f t="shared" si="35"/>
        <v>6740.4468383044559</v>
      </c>
    </row>
    <row r="2295" spans="1:11" x14ac:dyDescent="0.2">
      <c r="A2295" t="s">
        <v>356</v>
      </c>
      <c r="B2295" t="s">
        <v>500</v>
      </c>
      <c r="C2295" t="s">
        <v>7445</v>
      </c>
      <c r="D2295" t="s">
        <v>7446</v>
      </c>
      <c r="E2295" t="s">
        <v>1054</v>
      </c>
      <c r="F2295" t="s">
        <v>5</v>
      </c>
      <c r="G2295" t="s">
        <v>11</v>
      </c>
      <c r="H2295">
        <f>41601*(1.01^10)</f>
        <v>45953.385039231529</v>
      </c>
      <c r="I2295">
        <f>190802*(1.01^10)</f>
        <v>210764.11077270869</v>
      </c>
      <c r="J2295" t="s">
        <v>7447</v>
      </c>
      <c r="K2295">
        <f t="shared" si="35"/>
        <v>1223.8314903595424</v>
      </c>
    </row>
    <row r="2296" spans="1:11" x14ac:dyDescent="0.2">
      <c r="A2296" t="s">
        <v>356</v>
      </c>
      <c r="B2296" t="s">
        <v>500</v>
      </c>
      <c r="C2296" t="s">
        <v>7448</v>
      </c>
      <c r="D2296" t="s">
        <v>7449</v>
      </c>
      <c r="E2296" t="s">
        <v>232</v>
      </c>
      <c r="F2296" t="s">
        <v>92</v>
      </c>
      <c r="G2296" t="s">
        <v>12</v>
      </c>
      <c r="H2296">
        <f>52059*(1.01^10)</f>
        <v>57505.523226781908</v>
      </c>
      <c r="I2296">
        <f>222033*(1.01^10)</f>
        <v>245262.56437142604</v>
      </c>
      <c r="J2296" t="s">
        <v>7450</v>
      </c>
      <c r="K2296">
        <f t="shared" si="35"/>
        <v>1271.5918250323525</v>
      </c>
    </row>
    <row r="2297" spans="1:11" x14ac:dyDescent="0.2">
      <c r="A2297" t="s">
        <v>356</v>
      </c>
      <c r="B2297" t="s">
        <v>500</v>
      </c>
      <c r="C2297" t="s">
        <v>7451</v>
      </c>
      <c r="D2297" t="s">
        <v>7452</v>
      </c>
      <c r="E2297" t="s">
        <v>1387</v>
      </c>
      <c r="F2297" t="s">
        <v>92</v>
      </c>
      <c r="G2297" t="s">
        <v>24</v>
      </c>
      <c r="H2297">
        <f>48318*(1.01^10)</f>
        <v>53373.131855618594</v>
      </c>
      <c r="I2297">
        <f>204818*(1.01^10)</f>
        <v>226246.49448247213</v>
      </c>
      <c r="J2297" t="s">
        <v>7453</v>
      </c>
      <c r="K2297">
        <f t="shared" si="35"/>
        <v>822.20517089416228</v>
      </c>
    </row>
    <row r="2298" spans="1:11" x14ac:dyDescent="0.2">
      <c r="A2298" t="s">
        <v>356</v>
      </c>
      <c r="B2298" t="s">
        <v>500</v>
      </c>
      <c r="C2298" t="s">
        <v>7454</v>
      </c>
      <c r="D2298" t="s">
        <v>7455</v>
      </c>
      <c r="E2298" t="s">
        <v>2795</v>
      </c>
      <c r="F2298" t="s">
        <v>24</v>
      </c>
      <c r="G2298" t="s">
        <v>24</v>
      </c>
      <c r="H2298">
        <f>31058*(1.01^10)</f>
        <v>34307.353971021199</v>
      </c>
      <c r="I2298">
        <f>127785*(1.01^10)</f>
        <v>141154.1382956708</v>
      </c>
      <c r="J2298" t="s">
        <v>7456</v>
      </c>
      <c r="K2298">
        <f t="shared" si="35"/>
        <v>1201.9782083477833</v>
      </c>
    </row>
    <row r="2299" spans="1:11" x14ac:dyDescent="0.2">
      <c r="A2299" t="s">
        <v>356</v>
      </c>
      <c r="B2299" t="s">
        <v>500</v>
      </c>
      <c r="C2299" t="s">
        <v>7457</v>
      </c>
      <c r="D2299" t="s">
        <v>7458</v>
      </c>
      <c r="E2299" t="s">
        <v>315</v>
      </c>
      <c r="F2299" t="s">
        <v>11</v>
      </c>
      <c r="G2299" t="s">
        <v>24</v>
      </c>
      <c r="H2299">
        <f>44263*(1.01^10)</f>
        <v>48893.889137076156</v>
      </c>
      <c r="I2299">
        <f>188435*(1.01^10)</f>
        <v>208149.47020186036</v>
      </c>
      <c r="J2299" t="s">
        <v>7459</v>
      </c>
      <c r="K2299">
        <f t="shared" si="35"/>
        <v>727.6191829523865</v>
      </c>
    </row>
    <row r="2300" spans="1:11" x14ac:dyDescent="0.2">
      <c r="A2300" t="s">
        <v>356</v>
      </c>
      <c r="B2300" t="s">
        <v>500</v>
      </c>
      <c r="C2300" t="s">
        <v>7460</v>
      </c>
      <c r="D2300" t="s">
        <v>7461</v>
      </c>
      <c r="E2300" t="s">
        <v>1060</v>
      </c>
      <c r="F2300" t="s">
        <v>11</v>
      </c>
      <c r="G2300" t="s">
        <v>12</v>
      </c>
      <c r="H2300">
        <f>49558*(1.01^10)</f>
        <v>54742.863291128488</v>
      </c>
      <c r="I2300">
        <f>187823*(1.01^10)</f>
        <v>207473.44146110871</v>
      </c>
      <c r="J2300" t="s">
        <v>7462</v>
      </c>
      <c r="K2300">
        <f t="shared" si="35"/>
        <v>1285.5748857642925</v>
      </c>
    </row>
    <row r="2301" spans="1:11" x14ac:dyDescent="0.2">
      <c r="A2301" t="s">
        <v>356</v>
      </c>
      <c r="B2301" t="s">
        <v>500</v>
      </c>
      <c r="C2301" t="s">
        <v>7463</v>
      </c>
      <c r="D2301" t="s">
        <v>7464</v>
      </c>
      <c r="E2301" t="s">
        <v>1617</v>
      </c>
      <c r="F2301" t="s">
        <v>158</v>
      </c>
      <c r="G2301" t="s">
        <v>12</v>
      </c>
      <c r="H2301">
        <f>37943*(1.01^10)</f>
        <v>41912.677304477344</v>
      </c>
      <c r="I2301">
        <f>159782*(1.01^10)</f>
        <v>176498.73244245313</v>
      </c>
      <c r="J2301" t="s">
        <v>7465</v>
      </c>
      <c r="K2301">
        <f t="shared" si="35"/>
        <v>901.06733604914871</v>
      </c>
    </row>
    <row r="2302" spans="1:11" x14ac:dyDescent="0.2">
      <c r="A2302" t="s">
        <v>356</v>
      </c>
      <c r="B2302" t="s">
        <v>500</v>
      </c>
      <c r="C2302" t="s">
        <v>7466</v>
      </c>
      <c r="D2302" t="s">
        <v>7467</v>
      </c>
      <c r="E2302" t="s">
        <v>1010</v>
      </c>
      <c r="F2302" t="s">
        <v>158</v>
      </c>
      <c r="G2302" t="s">
        <v>24</v>
      </c>
      <c r="H2302">
        <f>31171*(1.01^10)</f>
        <v>34432.176271192664</v>
      </c>
      <c r="I2302">
        <f>127661*(1.01^10)</f>
        <v>141017.16515211982</v>
      </c>
      <c r="J2302" t="s">
        <v>7468</v>
      </c>
      <c r="K2302">
        <f t="shared" si="35"/>
        <v>920.65944482228406</v>
      </c>
    </row>
    <row r="2303" spans="1:11" x14ac:dyDescent="0.2">
      <c r="A2303" t="s">
        <v>356</v>
      </c>
      <c r="B2303" t="s">
        <v>500</v>
      </c>
      <c r="C2303" t="s">
        <v>7469</v>
      </c>
      <c r="D2303" t="s">
        <v>7470</v>
      </c>
      <c r="E2303" t="s">
        <v>2777</v>
      </c>
      <c r="F2303" t="s">
        <v>422</v>
      </c>
      <c r="G2303" t="s">
        <v>24</v>
      </c>
      <c r="H2303">
        <f>36344*(1.01^10)</f>
        <v>40146.386525944828</v>
      </c>
      <c r="I2303">
        <f>164570*(1.01^10)</f>
        <v>181787.66317892197</v>
      </c>
      <c r="J2303" t="s">
        <v>7471</v>
      </c>
      <c r="K2303">
        <f t="shared" si="35"/>
        <v>539.93012314515613</v>
      </c>
    </row>
    <row r="2304" spans="1:11" x14ac:dyDescent="0.2">
      <c r="A2304" t="s">
        <v>356</v>
      </c>
      <c r="B2304" t="s">
        <v>500</v>
      </c>
      <c r="C2304" t="s">
        <v>7472</v>
      </c>
      <c r="D2304" t="s">
        <v>3952</v>
      </c>
      <c r="E2304" t="s">
        <v>337</v>
      </c>
      <c r="F2304" t="s">
        <v>405</v>
      </c>
      <c r="G2304" t="s">
        <v>12</v>
      </c>
      <c r="H2304">
        <f>18084*(1.01^10)</f>
        <v>19975.986515936227</v>
      </c>
      <c r="I2304">
        <f>77979*(1.01^10)</f>
        <v>86137.328717440338</v>
      </c>
      <c r="J2304" t="s">
        <v>7473</v>
      </c>
      <c r="K2304">
        <f t="shared" si="35"/>
        <v>359.70981864783153</v>
      </c>
    </row>
    <row r="2305" spans="1:11" x14ac:dyDescent="0.2">
      <c r="A2305" t="s">
        <v>356</v>
      </c>
      <c r="B2305" t="s">
        <v>500</v>
      </c>
      <c r="C2305" t="s">
        <v>7474</v>
      </c>
      <c r="D2305" t="s">
        <v>7475</v>
      </c>
      <c r="E2305" t="s">
        <v>40</v>
      </c>
      <c r="F2305" t="s">
        <v>152</v>
      </c>
      <c r="G2305" t="s">
        <v>17</v>
      </c>
      <c r="H2305">
        <f>25792*(1.01^10)</f>
        <v>28490.413858605792</v>
      </c>
      <c r="I2305">
        <f>111377*(1.01^10)</f>
        <v>123029.49846192375</v>
      </c>
      <c r="J2305" t="s">
        <v>7476</v>
      </c>
      <c r="K2305">
        <f t="shared" si="35"/>
        <v>844.83644022530166</v>
      </c>
    </row>
    <row r="2306" spans="1:11" x14ac:dyDescent="0.2">
      <c r="A2306" t="s">
        <v>356</v>
      </c>
      <c r="B2306" t="s">
        <v>500</v>
      </c>
      <c r="C2306" t="s">
        <v>7477</v>
      </c>
      <c r="D2306" t="s">
        <v>7478</v>
      </c>
      <c r="E2306" t="s">
        <v>879</v>
      </c>
      <c r="F2306" t="s">
        <v>405</v>
      </c>
      <c r="G2306" t="s">
        <v>24</v>
      </c>
      <c r="H2306">
        <f>20808*(1.01^10)</f>
        <v>22984.977185556349</v>
      </c>
      <c r="I2306">
        <f>87405*(1.01^10)</f>
        <v>96549.496871566356</v>
      </c>
      <c r="J2306" t="s">
        <v>7479</v>
      </c>
      <c r="K2306">
        <f t="shared" si="35"/>
        <v>761.91166305771037</v>
      </c>
    </row>
    <row r="2307" spans="1:11" x14ac:dyDescent="0.2">
      <c r="A2307" t="s">
        <v>356</v>
      </c>
      <c r="B2307" t="s">
        <v>500</v>
      </c>
      <c r="C2307" t="s">
        <v>7480</v>
      </c>
      <c r="D2307" t="s">
        <v>7481</v>
      </c>
      <c r="E2307" t="s">
        <v>493</v>
      </c>
      <c r="F2307" t="s">
        <v>318</v>
      </c>
      <c r="G2307" t="s">
        <v>12</v>
      </c>
      <c r="H2307">
        <f>46552*(1.01^10)</f>
        <v>51422.3691821424</v>
      </c>
      <c r="I2307">
        <f>195349*(1.01^10)</f>
        <v>215786.82757695342</v>
      </c>
      <c r="J2307" t="s">
        <v>7482</v>
      </c>
      <c r="K2307">
        <f t="shared" ref="K2307:K2370" si="36">I2307/J2307</f>
        <v>789.15781628843854</v>
      </c>
    </row>
    <row r="2308" spans="1:11" x14ac:dyDescent="0.2">
      <c r="A2308" t="s">
        <v>356</v>
      </c>
      <c r="B2308" t="s">
        <v>500</v>
      </c>
      <c r="C2308" t="s">
        <v>7483</v>
      </c>
      <c r="D2308" t="s">
        <v>7484</v>
      </c>
      <c r="E2308" t="s">
        <v>598</v>
      </c>
      <c r="F2308" t="s">
        <v>356</v>
      </c>
      <c r="G2308" t="s">
        <v>12</v>
      </c>
      <c r="H2308">
        <f>47005*(1.01^10)</f>
        <v>51922.763004953682</v>
      </c>
      <c r="I2308">
        <f>201901*(1.01^10)</f>
        <v>223024.31174264764</v>
      </c>
      <c r="J2308" t="s">
        <v>7485</v>
      </c>
      <c r="K2308">
        <f t="shared" si="36"/>
        <v>801.3289950288322</v>
      </c>
    </row>
    <row r="2309" spans="1:11" x14ac:dyDescent="0.2">
      <c r="A2309" t="s">
        <v>356</v>
      </c>
      <c r="B2309" t="s">
        <v>500</v>
      </c>
      <c r="C2309" t="s">
        <v>7486</v>
      </c>
      <c r="D2309" t="s">
        <v>7487</v>
      </c>
      <c r="E2309" t="s">
        <v>1576</v>
      </c>
      <c r="F2309" t="s">
        <v>6</v>
      </c>
      <c r="G2309" t="s">
        <v>12</v>
      </c>
      <c r="H2309">
        <f>51305*(1.01^10)</f>
        <v>56672.638144221863</v>
      </c>
      <c r="I2309">
        <f>218654*(1.01^10)</f>
        <v>241530.04620966155</v>
      </c>
      <c r="J2309" t="s">
        <v>7488</v>
      </c>
      <c r="K2309">
        <f t="shared" si="36"/>
        <v>836.90125127788519</v>
      </c>
    </row>
    <row r="2310" spans="1:11" x14ac:dyDescent="0.2">
      <c r="A2310" t="s">
        <v>356</v>
      </c>
      <c r="B2310" t="s">
        <v>500</v>
      </c>
      <c r="C2310" t="s">
        <v>7489</v>
      </c>
      <c r="D2310" t="s">
        <v>7490</v>
      </c>
      <c r="E2310" t="s">
        <v>540</v>
      </c>
      <c r="F2310" t="s">
        <v>458</v>
      </c>
      <c r="G2310" t="s">
        <v>12</v>
      </c>
      <c r="H2310">
        <f>47961*(1.01^10)</f>
        <v>52978.781756846794</v>
      </c>
      <c r="I2310">
        <f>202553*(1.01^10)</f>
        <v>223744.52536841575</v>
      </c>
      <c r="J2310" t="s">
        <v>7491</v>
      </c>
      <c r="K2310">
        <f t="shared" si="36"/>
        <v>696.28545677607656</v>
      </c>
    </row>
    <row r="2311" spans="1:11" x14ac:dyDescent="0.2">
      <c r="A2311" t="s">
        <v>356</v>
      </c>
      <c r="B2311" t="s">
        <v>500</v>
      </c>
      <c r="C2311" t="s">
        <v>7492</v>
      </c>
      <c r="D2311" t="s">
        <v>7493</v>
      </c>
      <c r="E2311" t="s">
        <v>766</v>
      </c>
      <c r="F2311" t="s">
        <v>158</v>
      </c>
      <c r="G2311" t="s">
        <v>12</v>
      </c>
      <c r="H2311">
        <f>38754*(1.01^10)</f>
        <v>42808.525848185825</v>
      </c>
      <c r="I2311">
        <f>168709*(1.01^10)</f>
        <v>186359.69415599894</v>
      </c>
      <c r="J2311" t="s">
        <v>7494</v>
      </c>
      <c r="K2311">
        <f t="shared" si="36"/>
        <v>651.2471402122959</v>
      </c>
    </row>
    <row r="2312" spans="1:11" x14ac:dyDescent="0.2">
      <c r="A2312" t="s">
        <v>356</v>
      </c>
      <c r="B2312" t="s">
        <v>500</v>
      </c>
      <c r="C2312" t="s">
        <v>7495</v>
      </c>
      <c r="D2312" t="s">
        <v>7496</v>
      </c>
      <c r="E2312" t="s">
        <v>2553</v>
      </c>
      <c r="F2312" t="s">
        <v>72</v>
      </c>
      <c r="G2312" t="s">
        <v>24</v>
      </c>
      <c r="H2312">
        <f>40439*(1.01^10)</f>
        <v>44669.814129503706</v>
      </c>
      <c r="I2312">
        <f>181437*(1.01^10)</f>
        <v>200419.32456823275</v>
      </c>
      <c r="J2312" t="s">
        <v>7497</v>
      </c>
      <c r="K2312">
        <f t="shared" si="36"/>
        <v>575.14334137818491</v>
      </c>
    </row>
    <row r="2313" spans="1:11" x14ac:dyDescent="0.2">
      <c r="A2313" t="s">
        <v>356</v>
      </c>
      <c r="B2313" t="s">
        <v>500</v>
      </c>
      <c r="C2313" t="s">
        <v>7498</v>
      </c>
      <c r="D2313" t="s">
        <v>7499</v>
      </c>
      <c r="E2313" t="s">
        <v>1576</v>
      </c>
      <c r="F2313" t="s">
        <v>829</v>
      </c>
      <c r="G2313" t="s">
        <v>24</v>
      </c>
      <c r="H2313">
        <f>34107*(1.01^10)</f>
        <v>37675.346831399962</v>
      </c>
      <c r="I2313">
        <f>153248*(1.01^10)</f>
        <v>169281.1314750163</v>
      </c>
      <c r="J2313" t="s">
        <v>7500</v>
      </c>
      <c r="K2313">
        <f t="shared" si="36"/>
        <v>608.29715027912334</v>
      </c>
    </row>
    <row r="2314" spans="1:11" x14ac:dyDescent="0.2">
      <c r="A2314" t="s">
        <v>356</v>
      </c>
      <c r="B2314" t="s">
        <v>500</v>
      </c>
      <c r="C2314" t="s">
        <v>6484</v>
      </c>
      <c r="D2314" t="s">
        <v>6485</v>
      </c>
      <c r="E2314" t="s">
        <v>24</v>
      </c>
      <c r="F2314" t="s">
        <v>24</v>
      </c>
      <c r="G2314" t="s">
        <v>158</v>
      </c>
      <c r="H2314">
        <f>74777*(1.01^10)</f>
        <v>82600.328671873664</v>
      </c>
      <c r="I2314">
        <f>330083*(1.01^10)</f>
        <v>364616.98502210667</v>
      </c>
      <c r="J2314" t="s">
        <v>7501</v>
      </c>
      <c r="K2314">
        <f t="shared" si="36"/>
        <v>5386.5709118349341</v>
      </c>
    </row>
    <row r="2315" spans="1:11" x14ac:dyDescent="0.2">
      <c r="A2315" t="s">
        <v>356</v>
      </c>
      <c r="B2315" t="s">
        <v>7502</v>
      </c>
      <c r="C2315" t="s">
        <v>7503</v>
      </c>
      <c r="D2315" t="s">
        <v>7504</v>
      </c>
      <c r="E2315" t="s">
        <v>537</v>
      </c>
      <c r="F2315" t="s">
        <v>158</v>
      </c>
      <c r="G2315" t="s">
        <v>17</v>
      </c>
      <c r="H2315">
        <f>35182*(1.01^10)</f>
        <v>38862.815616217005</v>
      </c>
      <c r="I2315">
        <f>163057*(1.01^10)</f>
        <v>180116.36990317481</v>
      </c>
      <c r="J2315" t="s">
        <v>7505</v>
      </c>
      <c r="K2315">
        <f t="shared" si="36"/>
        <v>3800.9954182646438</v>
      </c>
    </row>
    <row r="2316" spans="1:11" x14ac:dyDescent="0.2">
      <c r="A2316" t="s">
        <v>356</v>
      </c>
      <c r="B2316" t="s">
        <v>7502</v>
      </c>
      <c r="C2316" t="s">
        <v>7506</v>
      </c>
      <c r="D2316" t="s">
        <v>7507</v>
      </c>
      <c r="E2316" t="s">
        <v>333</v>
      </c>
      <c r="F2316" t="s">
        <v>24</v>
      </c>
      <c r="G2316" t="s">
        <v>92</v>
      </c>
      <c r="H2316">
        <f>25120*(1.01^10)</f>
        <v>27748.107790329464</v>
      </c>
      <c r="I2316">
        <f>123598*(1.01^10)</f>
        <v>136529.08545657407</v>
      </c>
      <c r="J2316" t="s">
        <v>7508</v>
      </c>
      <c r="K2316">
        <f t="shared" si="36"/>
        <v>3172.3631062432023</v>
      </c>
    </row>
    <row r="2317" spans="1:11" x14ac:dyDescent="0.2">
      <c r="A2317" t="s">
        <v>356</v>
      </c>
      <c r="B2317" t="s">
        <v>7502</v>
      </c>
      <c r="C2317" t="s">
        <v>7509</v>
      </c>
      <c r="D2317" t="s">
        <v>7510</v>
      </c>
      <c r="E2317" t="s">
        <v>142</v>
      </c>
      <c r="F2317" t="s">
        <v>92</v>
      </c>
      <c r="G2317" t="s">
        <v>158</v>
      </c>
      <c r="H2317">
        <f>26102*(1.01^10)</f>
        <v>28832.846717483266</v>
      </c>
      <c r="I2317">
        <f>123176*(1.01^10)</f>
        <v>136062.93491965055</v>
      </c>
      <c r="J2317" t="s">
        <v>7511</v>
      </c>
      <c r="K2317">
        <f t="shared" si="36"/>
        <v>1016.4944249904066</v>
      </c>
    </row>
    <row r="2318" spans="1:11" x14ac:dyDescent="0.2">
      <c r="A2318" t="s">
        <v>356</v>
      </c>
      <c r="B2318" t="s">
        <v>7502</v>
      </c>
      <c r="C2318" t="s">
        <v>7512</v>
      </c>
      <c r="D2318" t="s">
        <v>3280</v>
      </c>
      <c r="E2318" t="s">
        <v>382</v>
      </c>
      <c r="F2318" t="s">
        <v>24</v>
      </c>
      <c r="G2318" t="s">
        <v>458</v>
      </c>
      <c r="H2318">
        <f>21653*(1.01^10)</f>
        <v>23918.382881528818</v>
      </c>
      <c r="I2318">
        <f>106441*(1.01^10)</f>
        <v>117577.08365089404</v>
      </c>
      <c r="J2318" t="s">
        <v>7513</v>
      </c>
      <c r="K2318">
        <f t="shared" si="36"/>
        <v>1452.1754301362432</v>
      </c>
    </row>
    <row r="2319" spans="1:11" x14ac:dyDescent="0.2">
      <c r="A2319" t="s">
        <v>356</v>
      </c>
      <c r="B2319" t="s">
        <v>7502</v>
      </c>
      <c r="C2319" t="s">
        <v>7514</v>
      </c>
      <c r="D2319" t="s">
        <v>7515</v>
      </c>
      <c r="E2319" t="s">
        <v>382</v>
      </c>
      <c r="F2319" t="s">
        <v>12</v>
      </c>
      <c r="G2319" t="s">
        <v>382</v>
      </c>
      <c r="H2319">
        <f>39704*(1.01^10)</f>
        <v>43857.916867326472</v>
      </c>
      <c r="I2319">
        <f>186915*(1.01^10)</f>
        <v>206470.44457123533</v>
      </c>
      <c r="J2319" t="s">
        <v>7516</v>
      </c>
      <c r="K2319">
        <f t="shared" si="36"/>
        <v>2642.3009197459019</v>
      </c>
    </row>
    <row r="2320" spans="1:11" x14ac:dyDescent="0.2">
      <c r="A2320" t="s">
        <v>356</v>
      </c>
      <c r="B2320" t="s">
        <v>7502</v>
      </c>
      <c r="C2320" t="s">
        <v>7517</v>
      </c>
      <c r="D2320" t="s">
        <v>7518</v>
      </c>
      <c r="E2320" t="s">
        <v>318</v>
      </c>
      <c r="F2320" t="s">
        <v>12</v>
      </c>
      <c r="G2320" t="s">
        <v>318</v>
      </c>
      <c r="H2320">
        <f>34248*(1.01^10)</f>
        <v>37831.098551082941</v>
      </c>
      <c r="I2320">
        <f>161891*(1.01^10)</f>
        <v>178828.38050494535</v>
      </c>
      <c r="J2320" t="s">
        <v>7519</v>
      </c>
      <c r="K2320">
        <f t="shared" si="36"/>
        <v>1561.3613712378881</v>
      </c>
    </row>
    <row r="2321" spans="1:11" x14ac:dyDescent="0.2">
      <c r="A2321" t="s">
        <v>356</v>
      </c>
      <c r="B2321" t="s">
        <v>7502</v>
      </c>
      <c r="C2321" t="s">
        <v>7520</v>
      </c>
      <c r="D2321" t="s">
        <v>7521</v>
      </c>
      <c r="E2321" t="s">
        <v>2795</v>
      </c>
      <c r="F2321" t="s">
        <v>11</v>
      </c>
      <c r="G2321" t="s">
        <v>158</v>
      </c>
      <c r="H2321">
        <f>25591*(1.01^10)</f>
        <v>28268.38481139814</v>
      </c>
      <c r="I2321">
        <f>115924*(1.01^10)</f>
        <v>128052.2152661685</v>
      </c>
      <c r="J2321" t="s">
        <v>7522</v>
      </c>
      <c r="K2321">
        <f t="shared" si="36"/>
        <v>695.14974098170558</v>
      </c>
    </row>
    <row r="2322" spans="1:11" x14ac:dyDescent="0.2">
      <c r="A2322" t="s">
        <v>356</v>
      </c>
      <c r="B2322" t="s">
        <v>7502</v>
      </c>
      <c r="C2322" t="s">
        <v>7523</v>
      </c>
      <c r="D2322" t="s">
        <v>7524</v>
      </c>
      <c r="E2322" t="s">
        <v>168</v>
      </c>
      <c r="F2322" t="s">
        <v>92</v>
      </c>
      <c r="G2322" t="s">
        <v>6</v>
      </c>
      <c r="H2322">
        <f>40438*(1.01^10)</f>
        <v>44668.709507378298</v>
      </c>
      <c r="I2322">
        <f>178125*(1.01^10)</f>
        <v>196760.81608887084</v>
      </c>
      <c r="J2322" t="s">
        <v>7525</v>
      </c>
      <c r="K2322">
        <f t="shared" si="36"/>
        <v>683.02338391248395</v>
      </c>
    </row>
    <row r="2323" spans="1:11" x14ac:dyDescent="0.2">
      <c r="A2323" t="s">
        <v>356</v>
      </c>
      <c r="B2323" t="s">
        <v>7502</v>
      </c>
      <c r="C2323" t="s">
        <v>7526</v>
      </c>
      <c r="D2323" t="s">
        <v>7527</v>
      </c>
      <c r="E2323" t="s">
        <v>28</v>
      </c>
      <c r="F2323" t="s">
        <v>5</v>
      </c>
      <c r="G2323" t="s">
        <v>24</v>
      </c>
      <c r="H2323">
        <f>37011*(1.01^10)</f>
        <v>40883.169483594102</v>
      </c>
      <c r="I2323">
        <f>150896*(1.01^10)</f>
        <v>166683.06023604915</v>
      </c>
      <c r="J2323" t="s">
        <v>7528</v>
      </c>
      <c r="K2323">
        <f t="shared" si="36"/>
        <v>465.42529428091029</v>
      </c>
    </row>
    <row r="2324" spans="1:11" x14ac:dyDescent="0.2">
      <c r="A2324" t="s">
        <v>356</v>
      </c>
      <c r="B2324" t="s">
        <v>7502</v>
      </c>
      <c r="C2324" t="s">
        <v>7529</v>
      </c>
      <c r="D2324" t="s">
        <v>7530</v>
      </c>
      <c r="E2324" t="s">
        <v>837</v>
      </c>
      <c r="F2324" t="s">
        <v>11</v>
      </c>
      <c r="G2324" t="s">
        <v>24</v>
      </c>
      <c r="H2324">
        <f>29197*(1.01^10)</f>
        <v>32251.652195630944</v>
      </c>
      <c r="I2324">
        <f>119363*(1.01^10)</f>
        <v>131851.01075545762</v>
      </c>
      <c r="J2324" t="s">
        <v>7531</v>
      </c>
      <c r="K2324">
        <f t="shared" si="36"/>
        <v>596.95193183820572</v>
      </c>
    </row>
    <row r="2325" spans="1:11" x14ac:dyDescent="0.2">
      <c r="A2325" t="s">
        <v>356</v>
      </c>
      <c r="B2325" t="s">
        <v>7502</v>
      </c>
      <c r="C2325" t="s">
        <v>7532</v>
      </c>
      <c r="D2325" t="s">
        <v>7533</v>
      </c>
      <c r="E2325" t="s">
        <v>1576</v>
      </c>
      <c r="F2325" t="s">
        <v>17</v>
      </c>
      <c r="G2325" t="s">
        <v>24</v>
      </c>
      <c r="H2325">
        <f>61309*(1.01^10)</f>
        <v>67723.277886835553</v>
      </c>
      <c r="I2325">
        <f>263240*(1.01^10)</f>
        <v>290780.72829324554</v>
      </c>
      <c r="J2325" t="s">
        <v>7534</v>
      </c>
      <c r="K2325">
        <f t="shared" si="36"/>
        <v>744.19275776718621</v>
      </c>
    </row>
    <row r="2326" spans="1:11" x14ac:dyDescent="0.2">
      <c r="A2326" t="s">
        <v>356</v>
      </c>
      <c r="B2326" t="s">
        <v>7502</v>
      </c>
      <c r="C2326" t="s">
        <v>7535</v>
      </c>
      <c r="D2326" t="s">
        <v>7536</v>
      </c>
      <c r="E2326" t="s">
        <v>425</v>
      </c>
      <c r="F2326" t="s">
        <v>5</v>
      </c>
      <c r="G2326" t="s">
        <v>24</v>
      </c>
      <c r="H2326">
        <f>37123*(1.01^10)</f>
        <v>41006.887161640152</v>
      </c>
      <c r="I2326">
        <f>165408*(1.01^10)</f>
        <v>182713.33652001654</v>
      </c>
      <c r="J2326" t="s">
        <v>7537</v>
      </c>
      <c r="K2326">
        <f t="shared" si="36"/>
        <v>901.1823644070555</v>
      </c>
    </row>
    <row r="2327" spans="1:11" x14ac:dyDescent="0.2">
      <c r="A2327" t="s">
        <v>356</v>
      </c>
      <c r="B2327" t="s">
        <v>7502</v>
      </c>
      <c r="C2327" t="s">
        <v>7538</v>
      </c>
      <c r="D2327" t="s">
        <v>7539</v>
      </c>
      <c r="E2327" t="s">
        <v>3122</v>
      </c>
      <c r="F2327" t="s">
        <v>12</v>
      </c>
      <c r="G2327" t="s">
        <v>24</v>
      </c>
      <c r="H2327">
        <f>27501*(1.01^10)</f>
        <v>30378.213070933543</v>
      </c>
      <c r="I2327">
        <f>118567*(1.01^10)</f>
        <v>130971.73154363032</v>
      </c>
      <c r="J2327" t="s">
        <v>7540</v>
      </c>
      <c r="K2327">
        <f t="shared" si="36"/>
        <v>793.75895257958962</v>
      </c>
    </row>
    <row r="2328" spans="1:11" x14ac:dyDescent="0.2">
      <c r="A2328" t="s">
        <v>356</v>
      </c>
      <c r="B2328" t="s">
        <v>7502</v>
      </c>
      <c r="C2328" t="s">
        <v>7541</v>
      </c>
      <c r="D2328" t="s">
        <v>7542</v>
      </c>
      <c r="E2328" t="s">
        <v>1545</v>
      </c>
      <c r="F2328" t="s">
        <v>11</v>
      </c>
      <c r="G2328" t="s">
        <v>12</v>
      </c>
      <c r="H2328">
        <f>39425*(1.01^10)</f>
        <v>43549.72729433675</v>
      </c>
      <c r="I2328">
        <f>173087*(1.01^10)</f>
        <v>191195.7298210492</v>
      </c>
      <c r="J2328" t="s">
        <v>7543</v>
      </c>
      <c r="K2328">
        <f t="shared" si="36"/>
        <v>1069.7910578694652</v>
      </c>
    </row>
    <row r="2329" spans="1:11" x14ac:dyDescent="0.2">
      <c r="A2329" t="s">
        <v>356</v>
      </c>
      <c r="B2329" t="s">
        <v>7502</v>
      </c>
      <c r="C2329" t="s">
        <v>7544</v>
      </c>
      <c r="D2329" t="s">
        <v>7545</v>
      </c>
      <c r="E2329" t="s">
        <v>1545</v>
      </c>
      <c r="F2329" t="s">
        <v>92</v>
      </c>
      <c r="G2329" t="s">
        <v>24</v>
      </c>
      <c r="H2329">
        <f>31714*(1.01^10)</f>
        <v>35031.986085290948</v>
      </c>
      <c r="I2329">
        <f>136708*(1.01^10)</f>
        <v>151010.68152071498</v>
      </c>
      <c r="J2329" t="s">
        <v>7546</v>
      </c>
      <c r="K2329">
        <f t="shared" si="36"/>
        <v>975.63256782374958</v>
      </c>
    </row>
    <row r="2330" spans="1:11" x14ac:dyDescent="0.2">
      <c r="A2330" t="s">
        <v>356</v>
      </c>
      <c r="B2330" t="s">
        <v>7502</v>
      </c>
      <c r="C2330" t="s">
        <v>7547</v>
      </c>
      <c r="D2330" t="s">
        <v>7548</v>
      </c>
      <c r="E2330" t="s">
        <v>1060</v>
      </c>
      <c r="F2330" t="s">
        <v>5</v>
      </c>
      <c r="G2330" t="s">
        <v>92</v>
      </c>
      <c r="H2330">
        <f>48952*(1.01^10)</f>
        <v>54073.462283129295</v>
      </c>
      <c r="I2330">
        <f>206977*(1.01^10)</f>
        <v>228631.37365123493</v>
      </c>
      <c r="J2330" t="s">
        <v>7549</v>
      </c>
      <c r="K2330">
        <f t="shared" si="36"/>
        <v>1475.1684514317203</v>
      </c>
    </row>
    <row r="2331" spans="1:11" x14ac:dyDescent="0.2">
      <c r="A2331" t="s">
        <v>356</v>
      </c>
      <c r="B2331" t="s">
        <v>7502</v>
      </c>
      <c r="C2331" t="s">
        <v>7550</v>
      </c>
      <c r="D2331" t="s">
        <v>7551</v>
      </c>
      <c r="E2331" t="s">
        <v>337</v>
      </c>
      <c r="F2331" t="s">
        <v>17</v>
      </c>
      <c r="G2331" t="s">
        <v>24</v>
      </c>
      <c r="H2331">
        <f>50566*(1.01^10)</f>
        <v>55856.322393542978</v>
      </c>
      <c r="I2331">
        <f>212355*(1.01^10)</f>
        <v>234572.0314416964</v>
      </c>
      <c r="J2331" t="s">
        <v>7552</v>
      </c>
      <c r="K2331">
        <f t="shared" si="36"/>
        <v>1149.985635649243</v>
      </c>
    </row>
    <row r="2332" spans="1:11" x14ac:dyDescent="0.2">
      <c r="A2332" t="s">
        <v>356</v>
      </c>
      <c r="B2332" t="s">
        <v>7502</v>
      </c>
      <c r="C2332" t="s">
        <v>7553</v>
      </c>
      <c r="D2332" t="s">
        <v>7554</v>
      </c>
      <c r="E2332" t="s">
        <v>1233</v>
      </c>
      <c r="F2332" t="s">
        <v>152</v>
      </c>
      <c r="G2332" t="s">
        <v>24</v>
      </c>
      <c r="H2332">
        <f>54082*(1.01^10)</f>
        <v>59740.173786488776</v>
      </c>
      <c r="I2332">
        <f>237398*(1.01^10)</f>
        <v>262235.08332836919</v>
      </c>
      <c r="J2332" t="s">
        <v>7555</v>
      </c>
      <c r="K2332">
        <f t="shared" si="36"/>
        <v>816.16824055696031</v>
      </c>
    </row>
    <row r="2333" spans="1:11" x14ac:dyDescent="0.2">
      <c r="A2333" t="s">
        <v>356</v>
      </c>
      <c r="B2333" t="s">
        <v>7502</v>
      </c>
      <c r="C2333" t="s">
        <v>7556</v>
      </c>
      <c r="D2333" t="s">
        <v>7557</v>
      </c>
      <c r="E2333" t="s">
        <v>40</v>
      </c>
      <c r="F2333" t="s">
        <v>11</v>
      </c>
      <c r="G2333" t="s">
        <v>24</v>
      </c>
      <c r="H2333">
        <f>60080*(1.01^10)</f>
        <v>66365.697294705184</v>
      </c>
      <c r="I2333">
        <f>263064*(1.01^10)</f>
        <v>290586.31479917315</v>
      </c>
      <c r="J2333" t="s">
        <v>7558</v>
      </c>
      <c r="K2333">
        <f t="shared" si="36"/>
        <v>675.18688324485277</v>
      </c>
    </row>
    <row r="2334" spans="1:11" x14ac:dyDescent="0.2">
      <c r="A2334" t="s">
        <v>356</v>
      </c>
      <c r="B2334" t="s">
        <v>7502</v>
      </c>
      <c r="C2334" t="s">
        <v>7559</v>
      </c>
      <c r="D2334" t="s">
        <v>7560</v>
      </c>
      <c r="E2334" t="s">
        <v>879</v>
      </c>
      <c r="F2334" t="s">
        <v>24</v>
      </c>
      <c r="G2334" t="s">
        <v>11</v>
      </c>
      <c r="H2334">
        <f>44656*(1.01^10)</f>
        <v>49328.005632362758</v>
      </c>
      <c r="I2334">
        <f>187588*(1.01^10)</f>
        <v>207213.85526163707</v>
      </c>
      <c r="J2334" t="s">
        <v>7561</v>
      </c>
      <c r="K2334">
        <f t="shared" si="36"/>
        <v>786.1700004713208</v>
      </c>
    </row>
    <row r="2335" spans="1:11" x14ac:dyDescent="0.2">
      <c r="A2335" t="s">
        <v>356</v>
      </c>
      <c r="B2335" t="s">
        <v>7502</v>
      </c>
      <c r="C2335" t="s">
        <v>7562</v>
      </c>
      <c r="D2335" t="s">
        <v>7563</v>
      </c>
      <c r="E2335" t="s">
        <v>1106</v>
      </c>
      <c r="F2335" t="s">
        <v>24</v>
      </c>
      <c r="G2335" t="s">
        <v>24</v>
      </c>
      <c r="H2335">
        <f>35615*(1.01^10)</f>
        <v>39341.116996520061</v>
      </c>
      <c r="I2335">
        <f>147177*(1.01^10)</f>
        <v>162574.97055164489</v>
      </c>
      <c r="J2335" t="s">
        <v>7564</v>
      </c>
      <c r="K2335">
        <f t="shared" si="36"/>
        <v>727.54775685989466</v>
      </c>
    </row>
    <row r="2336" spans="1:11" x14ac:dyDescent="0.2">
      <c r="A2336" t="s">
        <v>356</v>
      </c>
      <c r="B2336" t="s">
        <v>7502</v>
      </c>
      <c r="C2336" t="s">
        <v>7565</v>
      </c>
      <c r="D2336" t="s">
        <v>7566</v>
      </c>
      <c r="E2336" t="s">
        <v>1589</v>
      </c>
      <c r="F2336" t="s">
        <v>12</v>
      </c>
      <c r="G2336" t="s">
        <v>5</v>
      </c>
      <c r="H2336">
        <f>49695*(1.01^10)</f>
        <v>54894.196522309823</v>
      </c>
      <c r="I2336">
        <f>215943*(1.01^10)</f>
        <v>238535.41562767178</v>
      </c>
      <c r="J2336" t="s">
        <v>7567</v>
      </c>
      <c r="K2336">
        <f t="shared" si="36"/>
        <v>963.24205244251368</v>
      </c>
    </row>
    <row r="2337" spans="1:11" x14ac:dyDescent="0.2">
      <c r="A2337" t="s">
        <v>356</v>
      </c>
      <c r="B2337" t="s">
        <v>7502</v>
      </c>
      <c r="C2337" t="s">
        <v>7568</v>
      </c>
      <c r="D2337" t="s">
        <v>7569</v>
      </c>
      <c r="E2337" t="s">
        <v>1101</v>
      </c>
      <c r="F2337" t="s">
        <v>92</v>
      </c>
      <c r="G2337" t="s">
        <v>12</v>
      </c>
      <c r="H2337">
        <f>36438*(1.01^10)</f>
        <v>40250.221005733481</v>
      </c>
      <c r="I2337">
        <f>152939*(1.01^10)</f>
        <v>168939.80323826426</v>
      </c>
      <c r="J2337" t="s">
        <v>7570</v>
      </c>
      <c r="K2337">
        <f t="shared" si="36"/>
        <v>897.38900252697852</v>
      </c>
    </row>
    <row r="2338" spans="1:11" x14ac:dyDescent="0.2">
      <c r="A2338" t="s">
        <v>356</v>
      </c>
      <c r="B2338" t="s">
        <v>7502</v>
      </c>
      <c r="C2338" t="s">
        <v>7571</v>
      </c>
      <c r="D2338" t="s">
        <v>7572</v>
      </c>
      <c r="E2338" t="s">
        <v>1328</v>
      </c>
      <c r="F2338" t="s">
        <v>12</v>
      </c>
      <c r="G2338" t="s">
        <v>12</v>
      </c>
      <c r="H2338">
        <f>51148*(1.01^10)</f>
        <v>56499.2124705323</v>
      </c>
      <c r="I2338">
        <f>218425*(1.01^10)</f>
        <v>241277.08774294239</v>
      </c>
      <c r="J2338" t="s">
        <v>7573</v>
      </c>
      <c r="K2338">
        <f t="shared" si="36"/>
        <v>1294.2260787271775</v>
      </c>
    </row>
    <row r="2339" spans="1:11" x14ac:dyDescent="0.2">
      <c r="A2339" t="s">
        <v>356</v>
      </c>
      <c r="B2339" t="s">
        <v>7502</v>
      </c>
      <c r="C2339" t="s">
        <v>7574</v>
      </c>
      <c r="D2339" t="s">
        <v>7575</v>
      </c>
      <c r="E2339" t="s">
        <v>337</v>
      </c>
      <c r="F2339" t="s">
        <v>12</v>
      </c>
      <c r="G2339" t="s">
        <v>24</v>
      </c>
      <c r="H2339">
        <f>35059*(1.01^10)</f>
        <v>38726.947094791431</v>
      </c>
      <c r="I2339">
        <f>150252*(1.01^10)</f>
        <v>165971.68358728432</v>
      </c>
      <c r="J2339" t="s">
        <v>7576</v>
      </c>
      <c r="K2339">
        <f t="shared" si="36"/>
        <v>825.44754383880513</v>
      </c>
    </row>
    <row r="2340" spans="1:11" x14ac:dyDescent="0.2">
      <c r="A2340" t="s">
        <v>356</v>
      </c>
      <c r="B2340" t="s">
        <v>7502</v>
      </c>
      <c r="C2340" t="s">
        <v>7577</v>
      </c>
      <c r="D2340" t="s">
        <v>7578</v>
      </c>
      <c r="E2340" t="s">
        <v>148</v>
      </c>
      <c r="F2340" t="s">
        <v>12</v>
      </c>
      <c r="G2340" t="s">
        <v>11</v>
      </c>
      <c r="H2340">
        <f>49302*(1.01^10)</f>
        <v>54460.080027023214</v>
      </c>
      <c r="I2340">
        <f>206945*(1.01^10)</f>
        <v>228596.02574322178</v>
      </c>
      <c r="J2340" t="s">
        <v>7579</v>
      </c>
      <c r="K2340">
        <f t="shared" si="36"/>
        <v>1290.9615622487909</v>
      </c>
    </row>
    <row r="2341" spans="1:11" x14ac:dyDescent="0.2">
      <c r="A2341" t="s">
        <v>356</v>
      </c>
      <c r="B2341" t="s">
        <v>7502</v>
      </c>
      <c r="C2341" t="s">
        <v>7580</v>
      </c>
      <c r="D2341" t="s">
        <v>7581</v>
      </c>
      <c r="E2341" t="s">
        <v>436</v>
      </c>
      <c r="F2341" t="s">
        <v>24</v>
      </c>
      <c r="G2341" t="s">
        <v>12</v>
      </c>
      <c r="H2341">
        <f>39427*(1.01^10)</f>
        <v>43551.936538587572</v>
      </c>
      <c r="I2341">
        <f>167335*(1.01^10)</f>
        <v>184841.94335568394</v>
      </c>
      <c r="J2341" t="s">
        <v>7582</v>
      </c>
      <c r="K2341">
        <f t="shared" si="36"/>
        <v>1018.3828202254416</v>
      </c>
    </row>
    <row r="2342" spans="1:11" x14ac:dyDescent="0.2">
      <c r="A2342" t="s">
        <v>356</v>
      </c>
      <c r="B2342" t="s">
        <v>7502</v>
      </c>
      <c r="C2342" t="s">
        <v>7583</v>
      </c>
      <c r="D2342" t="s">
        <v>4746</v>
      </c>
      <c r="E2342" t="s">
        <v>560</v>
      </c>
      <c r="F2342" t="s">
        <v>17</v>
      </c>
      <c r="G2342" t="s">
        <v>24</v>
      </c>
      <c r="H2342">
        <f>62889*(1.01^10)</f>
        <v>69468.580844985248</v>
      </c>
      <c r="I2342">
        <f>266338*(1.01^10)</f>
        <v>294202.84763776948</v>
      </c>
      <c r="J2342" t="s">
        <v>7584</v>
      </c>
      <c r="K2342">
        <f t="shared" si="36"/>
        <v>1100.2940545250581</v>
      </c>
    </row>
    <row r="2343" spans="1:11" x14ac:dyDescent="0.2">
      <c r="A2343" t="s">
        <v>356</v>
      </c>
      <c r="B2343" t="s">
        <v>7502</v>
      </c>
      <c r="C2343" t="s">
        <v>7585</v>
      </c>
      <c r="D2343" t="s">
        <v>7586</v>
      </c>
      <c r="E2343" t="s">
        <v>1303</v>
      </c>
      <c r="F2343" t="s">
        <v>17</v>
      </c>
      <c r="G2343" t="s">
        <v>12</v>
      </c>
      <c r="H2343">
        <f>40787*(1.01^10)</f>
        <v>45054.222629146811</v>
      </c>
      <c r="I2343">
        <f>180952*(1.01^10)</f>
        <v>199883.58283740832</v>
      </c>
      <c r="J2343" t="s">
        <v>7587</v>
      </c>
      <c r="K2343">
        <f t="shared" si="36"/>
        <v>733.18621281678008</v>
      </c>
    </row>
    <row r="2344" spans="1:11" x14ac:dyDescent="0.2">
      <c r="A2344" t="s">
        <v>356</v>
      </c>
      <c r="B2344" t="s">
        <v>7502</v>
      </c>
      <c r="C2344" t="s">
        <v>7588</v>
      </c>
      <c r="D2344" t="s">
        <v>7589</v>
      </c>
      <c r="E2344" t="s">
        <v>1617</v>
      </c>
      <c r="F2344" t="s">
        <v>5</v>
      </c>
      <c r="G2344" t="s">
        <v>24</v>
      </c>
      <c r="H2344">
        <f>42911*(1.01^10)</f>
        <v>47400.440023520205</v>
      </c>
      <c r="I2344">
        <f>189336*(1.01^10)</f>
        <v>209144.73473685587</v>
      </c>
      <c r="J2344" t="s">
        <v>7590</v>
      </c>
      <c r="K2344">
        <f t="shared" si="36"/>
        <v>760.16820226634604</v>
      </c>
    </row>
    <row r="2345" spans="1:11" x14ac:dyDescent="0.2">
      <c r="A2345" t="s">
        <v>356</v>
      </c>
      <c r="B2345" t="s">
        <v>7502</v>
      </c>
      <c r="C2345" t="s">
        <v>7591</v>
      </c>
      <c r="D2345" t="s">
        <v>7592</v>
      </c>
      <c r="E2345" t="s">
        <v>324</v>
      </c>
      <c r="F2345" t="s">
        <v>6</v>
      </c>
      <c r="G2345" t="s">
        <v>24</v>
      </c>
      <c r="H2345">
        <f>33973*(1.01^10)</f>
        <v>37527.327466594856</v>
      </c>
      <c r="I2345">
        <f>151401*(1.01^10)</f>
        <v>167240.89440938181</v>
      </c>
      <c r="J2345" t="s">
        <v>7593</v>
      </c>
      <c r="K2345">
        <f t="shared" si="36"/>
        <v>726.26530158119385</v>
      </c>
    </row>
    <row r="2346" spans="1:11" x14ac:dyDescent="0.2">
      <c r="A2346" t="s">
        <v>356</v>
      </c>
      <c r="B2346" t="s">
        <v>7502</v>
      </c>
      <c r="C2346" t="s">
        <v>6484</v>
      </c>
      <c r="D2346" t="s">
        <v>6485</v>
      </c>
      <c r="E2346" t="s">
        <v>24</v>
      </c>
      <c r="F2346" t="s">
        <v>24</v>
      </c>
      <c r="G2346" t="s">
        <v>108</v>
      </c>
      <c r="H2346">
        <f>484029*(1.01^10)</f>
        <v>534669.14274066</v>
      </c>
      <c r="I2346">
        <f>2276742*(1.01^10)</f>
        <v>2514939.5870529572</v>
      </c>
      <c r="J2346" t="s">
        <v>7594</v>
      </c>
      <c r="K2346">
        <f t="shared" si="36"/>
        <v>4509.0803891581481</v>
      </c>
    </row>
    <row r="2347" spans="1:11" x14ac:dyDescent="0.2">
      <c r="A2347" t="s">
        <v>356</v>
      </c>
      <c r="B2347" t="s">
        <v>891</v>
      </c>
      <c r="C2347" t="s">
        <v>7595</v>
      </c>
      <c r="D2347" t="s">
        <v>7596</v>
      </c>
      <c r="E2347" t="s">
        <v>137</v>
      </c>
      <c r="F2347" t="s">
        <v>6</v>
      </c>
      <c r="G2347" t="s">
        <v>17</v>
      </c>
      <c r="H2347">
        <f>49514*(1.01^10)</f>
        <v>54694.25991761039</v>
      </c>
      <c r="I2347">
        <f>183556*(1.01^10)</f>
        <v>202760.01885197911</v>
      </c>
      <c r="J2347" t="s">
        <v>7597</v>
      </c>
      <c r="K2347">
        <f t="shared" si="36"/>
        <v>1032.112567838896</v>
      </c>
    </row>
    <row r="2348" spans="1:11" x14ac:dyDescent="0.2">
      <c r="A2348" t="s">
        <v>356</v>
      </c>
      <c r="B2348" t="s">
        <v>891</v>
      </c>
      <c r="C2348" t="s">
        <v>7598</v>
      </c>
      <c r="D2348" t="s">
        <v>7599</v>
      </c>
      <c r="E2348" t="s">
        <v>137</v>
      </c>
      <c r="F2348" t="s">
        <v>158</v>
      </c>
      <c r="G2348" t="s">
        <v>24</v>
      </c>
      <c r="H2348">
        <f>57349*(1.01^10)</f>
        <v>63348.974270207182</v>
      </c>
      <c r="I2348">
        <f>217136*(1.01^10)</f>
        <v>239853.22982328734</v>
      </c>
      <c r="J2348" t="s">
        <v>7600</v>
      </c>
      <c r="K2348">
        <f t="shared" si="36"/>
        <v>1026.6197561417948</v>
      </c>
    </row>
    <row r="2349" spans="1:11" x14ac:dyDescent="0.2">
      <c r="A2349" t="s">
        <v>356</v>
      </c>
      <c r="B2349" t="s">
        <v>891</v>
      </c>
      <c r="C2349" t="s">
        <v>7601</v>
      </c>
      <c r="D2349" t="s">
        <v>7602</v>
      </c>
      <c r="E2349" t="s">
        <v>3122</v>
      </c>
      <c r="F2349" t="s">
        <v>6</v>
      </c>
      <c r="G2349" t="s">
        <v>24</v>
      </c>
      <c r="H2349">
        <f>58375*(1.01^10)</f>
        <v>64482.316570879077</v>
      </c>
      <c r="I2349">
        <f>244322*(1.01^10)</f>
        <v>269883.48692471639</v>
      </c>
      <c r="J2349" t="s">
        <v>7603</v>
      </c>
      <c r="K2349">
        <f t="shared" si="36"/>
        <v>1068.1765116851348</v>
      </c>
    </row>
    <row r="2350" spans="1:11" x14ac:dyDescent="0.2">
      <c r="A2350" t="s">
        <v>356</v>
      </c>
      <c r="B2350" t="s">
        <v>891</v>
      </c>
      <c r="C2350" t="s">
        <v>7604</v>
      </c>
      <c r="D2350" t="s">
        <v>7605</v>
      </c>
      <c r="E2350" t="s">
        <v>103</v>
      </c>
      <c r="F2350" t="s">
        <v>11</v>
      </c>
      <c r="G2350" t="s">
        <v>24</v>
      </c>
      <c r="H2350">
        <f>35901*(1.01^10)</f>
        <v>39657.038924387663</v>
      </c>
      <c r="I2350">
        <f>151231*(1.01^10)</f>
        <v>167053.1086480619</v>
      </c>
      <c r="J2350" t="s">
        <v>7606</v>
      </c>
      <c r="K2350">
        <f t="shared" si="36"/>
        <v>956.86248620805645</v>
      </c>
    </row>
    <row r="2351" spans="1:11" x14ac:dyDescent="0.2">
      <c r="A2351" t="s">
        <v>356</v>
      </c>
      <c r="B2351" t="s">
        <v>891</v>
      </c>
      <c r="C2351" t="s">
        <v>7607</v>
      </c>
      <c r="D2351" t="s">
        <v>7608</v>
      </c>
      <c r="E2351" t="s">
        <v>1002</v>
      </c>
      <c r="F2351" t="s">
        <v>422</v>
      </c>
      <c r="G2351" t="s">
        <v>17</v>
      </c>
      <c r="H2351">
        <f>78432*(1.01^10)</f>
        <v>86637.722540251605</v>
      </c>
      <c r="I2351">
        <f>334881*(1.01^10)</f>
        <v>369916.96197982965</v>
      </c>
      <c r="J2351" t="s">
        <v>7609</v>
      </c>
      <c r="K2351">
        <f t="shared" si="36"/>
        <v>1119.3249265784323</v>
      </c>
    </row>
    <row r="2352" spans="1:11" x14ac:dyDescent="0.2">
      <c r="A2352" t="s">
        <v>356</v>
      </c>
      <c r="B2352" t="s">
        <v>891</v>
      </c>
      <c r="C2352" t="s">
        <v>7610</v>
      </c>
      <c r="D2352" t="s">
        <v>7611</v>
      </c>
      <c r="E2352" t="s">
        <v>368</v>
      </c>
      <c r="F2352" t="s">
        <v>158</v>
      </c>
      <c r="G2352" t="s">
        <v>17</v>
      </c>
      <c r="H2352">
        <f>90613*(1.01^10)</f>
        <v>100093.12464988549</v>
      </c>
      <c r="I2352">
        <f>386569*(1.01^10)</f>
        <v>427012.67039808398</v>
      </c>
      <c r="J2352" t="s">
        <v>7612</v>
      </c>
      <c r="K2352">
        <f t="shared" si="36"/>
        <v>1158.5380344026692</v>
      </c>
    </row>
    <row r="2353" spans="1:11" x14ac:dyDescent="0.2">
      <c r="A2353" t="s">
        <v>356</v>
      </c>
      <c r="B2353" t="s">
        <v>891</v>
      </c>
      <c r="C2353" t="s">
        <v>7613</v>
      </c>
      <c r="D2353" t="s">
        <v>4444</v>
      </c>
      <c r="E2353" t="s">
        <v>168</v>
      </c>
      <c r="F2353" t="s">
        <v>158</v>
      </c>
      <c r="G2353" t="s">
        <v>12</v>
      </c>
      <c r="H2353">
        <f>69598*(1.01^10)</f>
        <v>76879.490684369026</v>
      </c>
      <c r="I2353">
        <f>310652*(1.01^10)</f>
        <v>343153.07250324159</v>
      </c>
      <c r="J2353" t="s">
        <v>7614</v>
      </c>
      <c r="K2353">
        <f t="shared" si="36"/>
        <v>1138.2784834268086</v>
      </c>
    </row>
    <row r="2354" spans="1:11" x14ac:dyDescent="0.2">
      <c r="A2354" t="s">
        <v>356</v>
      </c>
      <c r="B2354" t="s">
        <v>891</v>
      </c>
      <c r="C2354" t="s">
        <v>7615</v>
      </c>
      <c r="D2354" t="s">
        <v>7616</v>
      </c>
      <c r="E2354" t="s">
        <v>674</v>
      </c>
      <c r="F2354" t="s">
        <v>24</v>
      </c>
      <c r="G2354" t="s">
        <v>12</v>
      </c>
      <c r="H2354">
        <f>33765*(1.01^10)</f>
        <v>37297.56606450933</v>
      </c>
      <c r="I2354">
        <f>139472*(1.01^10)</f>
        <v>154063.85707535155</v>
      </c>
      <c r="J2354" t="s">
        <v>7617</v>
      </c>
      <c r="K2354">
        <f t="shared" si="36"/>
        <v>1138.3958308314909</v>
      </c>
    </row>
    <row r="2355" spans="1:11" x14ac:dyDescent="0.2">
      <c r="A2355" t="s">
        <v>356</v>
      </c>
      <c r="B2355" t="s">
        <v>891</v>
      </c>
      <c r="C2355" t="s">
        <v>7618</v>
      </c>
      <c r="D2355" t="s">
        <v>7619</v>
      </c>
      <c r="E2355" t="s">
        <v>1340</v>
      </c>
      <c r="F2355" t="s">
        <v>24</v>
      </c>
      <c r="G2355" t="s">
        <v>6</v>
      </c>
      <c r="H2355">
        <f>32303*(1.01^10)</f>
        <v>35682.608517158144</v>
      </c>
      <c r="I2355">
        <f>135314*(1.01^10)</f>
        <v>149470.83827789177</v>
      </c>
      <c r="J2355" t="s">
        <v>7620</v>
      </c>
      <c r="K2355">
        <f t="shared" si="36"/>
        <v>1604.2217175694839</v>
      </c>
    </row>
    <row r="2356" spans="1:11" x14ac:dyDescent="0.2">
      <c r="A2356" t="s">
        <v>356</v>
      </c>
      <c r="B2356" t="s">
        <v>891</v>
      </c>
      <c r="C2356" t="s">
        <v>7621</v>
      </c>
      <c r="D2356" t="s">
        <v>7622</v>
      </c>
      <c r="E2356" t="s">
        <v>324</v>
      </c>
      <c r="F2356" t="s">
        <v>11</v>
      </c>
      <c r="G2356" t="s">
        <v>11</v>
      </c>
      <c r="H2356">
        <f>74375*(1.01^10)</f>
        <v>82156.270577458359</v>
      </c>
      <c r="I2356">
        <f>314833*(1.01^10)</f>
        <v>347771.49760958581</v>
      </c>
      <c r="J2356" t="s">
        <v>7623</v>
      </c>
      <c r="K2356">
        <f t="shared" si="36"/>
        <v>1339.0218024432199</v>
      </c>
    </row>
    <row r="2357" spans="1:11" x14ac:dyDescent="0.2">
      <c r="A2357" t="s">
        <v>356</v>
      </c>
      <c r="B2357" t="s">
        <v>891</v>
      </c>
      <c r="C2357" t="s">
        <v>7624</v>
      </c>
      <c r="D2357" t="s">
        <v>7625</v>
      </c>
      <c r="E2357" t="s">
        <v>126</v>
      </c>
      <c r="F2357" t="s">
        <v>17</v>
      </c>
      <c r="G2357" t="s">
        <v>24</v>
      </c>
      <c r="H2357">
        <f>34304*(1.01^10)</f>
        <v>37892.95739010597</v>
      </c>
      <c r="I2357">
        <f>146705*(1.01^10)</f>
        <v>162053.58890845079</v>
      </c>
      <c r="J2357" t="s">
        <v>7626</v>
      </c>
      <c r="K2357">
        <f t="shared" si="36"/>
        <v>1071.4975294053659</v>
      </c>
    </row>
    <row r="2358" spans="1:11" x14ac:dyDescent="0.2">
      <c r="A2358" t="s">
        <v>356</v>
      </c>
      <c r="B2358" t="s">
        <v>891</v>
      </c>
      <c r="C2358" t="s">
        <v>7627</v>
      </c>
      <c r="D2358" t="s">
        <v>7628</v>
      </c>
      <c r="E2358" t="s">
        <v>1054</v>
      </c>
      <c r="F2358" t="s">
        <v>17</v>
      </c>
      <c r="G2358" t="s">
        <v>11</v>
      </c>
      <c r="H2358">
        <f>68682*(1.01^10)</f>
        <v>75867.65681749236</v>
      </c>
      <c r="I2358">
        <f>293040*(1.01^10)</f>
        <v>323698.46763049945</v>
      </c>
      <c r="J2358" t="s">
        <v>7629</v>
      </c>
      <c r="K2358">
        <f t="shared" si="36"/>
        <v>1352.1021469295317</v>
      </c>
    </row>
    <row r="2359" spans="1:11" x14ac:dyDescent="0.2">
      <c r="A2359" t="s">
        <v>356</v>
      </c>
      <c r="B2359" t="s">
        <v>891</v>
      </c>
      <c r="C2359" t="s">
        <v>7630</v>
      </c>
      <c r="D2359" t="s">
        <v>7631</v>
      </c>
      <c r="E2359" t="s">
        <v>1580</v>
      </c>
      <c r="F2359" t="s">
        <v>108</v>
      </c>
      <c r="G2359" t="s">
        <v>92</v>
      </c>
      <c r="H2359">
        <f>56978*(1.01^10)</f>
        <v>62939.159461679621</v>
      </c>
      <c r="I2359">
        <f>241080*(1.01^10)</f>
        <v>266302.30199413322</v>
      </c>
      <c r="J2359" t="s">
        <v>7632</v>
      </c>
      <c r="K2359">
        <f t="shared" si="36"/>
        <v>1503.6965399706207</v>
      </c>
    </row>
    <row r="2360" spans="1:11" x14ac:dyDescent="0.2">
      <c r="A2360" t="s">
        <v>356</v>
      </c>
      <c r="B2360" t="s">
        <v>891</v>
      </c>
      <c r="C2360" t="s">
        <v>7633</v>
      </c>
      <c r="D2360" t="s">
        <v>7634</v>
      </c>
      <c r="E2360" t="s">
        <v>3122</v>
      </c>
      <c r="F2360" t="s">
        <v>92</v>
      </c>
      <c r="G2360" t="s">
        <v>744</v>
      </c>
      <c r="H2360">
        <f>52423*(1.01^10)</f>
        <v>57907.605680431589</v>
      </c>
      <c r="I2360">
        <f>215137*(1.01^10)</f>
        <v>237645.09019459036</v>
      </c>
      <c r="J2360" t="s">
        <v>7635</v>
      </c>
      <c r="K2360">
        <f t="shared" si="36"/>
        <v>1754.0258424214737</v>
      </c>
    </row>
    <row r="2361" spans="1:11" x14ac:dyDescent="0.2">
      <c r="A2361" t="s">
        <v>356</v>
      </c>
      <c r="B2361" t="s">
        <v>891</v>
      </c>
      <c r="C2361" t="s">
        <v>7636</v>
      </c>
      <c r="D2361" t="s">
        <v>7637</v>
      </c>
      <c r="E2361" t="s">
        <v>1944</v>
      </c>
      <c r="F2361" t="s">
        <v>17</v>
      </c>
      <c r="G2361" t="s">
        <v>158</v>
      </c>
      <c r="H2361">
        <f>84715*(1.01^10)</f>
        <v>93578.063354210215</v>
      </c>
      <c r="I2361">
        <f>364405*(1.01^10)</f>
        <v>402529.82561047008</v>
      </c>
      <c r="J2361" t="s">
        <v>7638</v>
      </c>
      <c r="K2361">
        <f t="shared" si="36"/>
        <v>1396.5191053371016</v>
      </c>
    </row>
    <row r="2362" spans="1:11" x14ac:dyDescent="0.2">
      <c r="A2362" t="s">
        <v>356</v>
      </c>
      <c r="B2362" t="s">
        <v>891</v>
      </c>
      <c r="C2362" t="s">
        <v>7639</v>
      </c>
      <c r="D2362" t="s">
        <v>7640</v>
      </c>
      <c r="E2362" t="s">
        <v>771</v>
      </c>
      <c r="F2362" t="s">
        <v>108</v>
      </c>
      <c r="G2362" t="s">
        <v>405</v>
      </c>
      <c r="H2362">
        <f>94261*(1.01^10)</f>
        <v>104122.78616338556</v>
      </c>
      <c r="I2362">
        <f>405719*(1.01^10)</f>
        <v>448166.18409970857</v>
      </c>
      <c r="J2362" t="s">
        <v>7641</v>
      </c>
      <c r="K2362">
        <f t="shared" si="36"/>
        <v>1589.1628852361423</v>
      </c>
    </row>
    <row r="2363" spans="1:11" x14ac:dyDescent="0.2">
      <c r="A2363" t="s">
        <v>356</v>
      </c>
      <c r="B2363" t="s">
        <v>891</v>
      </c>
      <c r="C2363" t="s">
        <v>7642</v>
      </c>
      <c r="D2363" t="s">
        <v>7643</v>
      </c>
      <c r="E2363" t="s">
        <v>253</v>
      </c>
      <c r="F2363" t="s">
        <v>12</v>
      </c>
      <c r="G2363" t="s">
        <v>5</v>
      </c>
      <c r="H2363">
        <f>53838*(1.01^10)</f>
        <v>59470.645987888442</v>
      </c>
      <c r="I2363">
        <f>231068*(1.01^10)</f>
        <v>255242.82527451625</v>
      </c>
      <c r="J2363" t="s">
        <v>7644</v>
      </c>
      <c r="K2363">
        <f t="shared" si="36"/>
        <v>1624.6515906891907</v>
      </c>
    </row>
    <row r="2364" spans="1:11" x14ac:dyDescent="0.2">
      <c r="A2364" t="s">
        <v>356</v>
      </c>
      <c r="B2364" t="s">
        <v>891</v>
      </c>
      <c r="C2364" t="s">
        <v>6484</v>
      </c>
      <c r="D2364" t="s">
        <v>6485</v>
      </c>
      <c r="E2364" t="s">
        <v>24</v>
      </c>
      <c r="F2364" t="s">
        <v>24</v>
      </c>
      <c r="G2364" t="s">
        <v>405</v>
      </c>
      <c r="H2364">
        <f>206856*(1.01^10)</f>
        <v>228497.71437406016</v>
      </c>
      <c r="I2364">
        <f>852480*(1.01^10)</f>
        <v>941668.26947054383</v>
      </c>
      <c r="J2364" t="s">
        <v>7645</v>
      </c>
      <c r="K2364">
        <f t="shared" si="36"/>
        <v>6264.0076463150654</v>
      </c>
    </row>
    <row r="2365" spans="1:11" x14ac:dyDescent="0.2">
      <c r="A2365" t="s">
        <v>356</v>
      </c>
      <c r="B2365" t="s">
        <v>1284</v>
      </c>
      <c r="C2365" t="s">
        <v>7646</v>
      </c>
      <c r="D2365" t="s">
        <v>7647</v>
      </c>
      <c r="E2365" t="s">
        <v>1549</v>
      </c>
      <c r="F2365" t="s">
        <v>17</v>
      </c>
      <c r="G2365" t="s">
        <v>24</v>
      </c>
      <c r="H2365">
        <f>57502*(1.01^10)</f>
        <v>63517.981455395093</v>
      </c>
      <c r="I2365">
        <f>242974*(1.01^10)</f>
        <v>268394.45629966207</v>
      </c>
      <c r="J2365" t="s">
        <v>7648</v>
      </c>
      <c r="K2365">
        <f t="shared" si="36"/>
        <v>1142.6389216214486</v>
      </c>
    </row>
    <row r="2366" spans="1:11" x14ac:dyDescent="0.2">
      <c r="A2366" t="s">
        <v>356</v>
      </c>
      <c r="B2366" t="s">
        <v>1284</v>
      </c>
      <c r="C2366" t="s">
        <v>7649</v>
      </c>
      <c r="D2366" t="s">
        <v>7650</v>
      </c>
      <c r="E2366" t="s">
        <v>328</v>
      </c>
      <c r="F2366" t="s">
        <v>12</v>
      </c>
      <c r="G2366" t="s">
        <v>24</v>
      </c>
      <c r="H2366">
        <f>90774*(1.01^10)</f>
        <v>100270.9688120767</v>
      </c>
      <c r="I2366">
        <f>380903*(1.01^10)</f>
        <v>420753.88143550412</v>
      </c>
      <c r="J2366" t="s">
        <v>7651</v>
      </c>
      <c r="K2366">
        <f t="shared" si="36"/>
        <v>1223.8332793353813</v>
      </c>
    </row>
    <row r="2367" spans="1:11" x14ac:dyDescent="0.2">
      <c r="A2367" t="s">
        <v>356</v>
      </c>
      <c r="B2367" t="s">
        <v>1284</v>
      </c>
      <c r="C2367" t="s">
        <v>7652</v>
      </c>
      <c r="D2367" t="s">
        <v>7653</v>
      </c>
      <c r="E2367" t="s">
        <v>977</v>
      </c>
      <c r="F2367" t="s">
        <v>24</v>
      </c>
      <c r="G2367" t="s">
        <v>6</v>
      </c>
      <c r="H2367">
        <f>79503*(1.01^10)</f>
        <v>87820.772836567005</v>
      </c>
      <c r="I2367">
        <f>330287*(1.01^10)</f>
        <v>364842.32793569058</v>
      </c>
      <c r="J2367" t="s">
        <v>7654</v>
      </c>
      <c r="K2367">
        <f t="shared" si="36"/>
        <v>1431.5963426944893</v>
      </c>
    </row>
    <row r="2368" spans="1:11" x14ac:dyDescent="0.2">
      <c r="A2368" t="s">
        <v>356</v>
      </c>
      <c r="B2368" t="s">
        <v>1284</v>
      </c>
      <c r="C2368" t="s">
        <v>7655</v>
      </c>
      <c r="D2368" t="s">
        <v>7656</v>
      </c>
      <c r="E2368" t="s">
        <v>137</v>
      </c>
      <c r="F2368" t="s">
        <v>24</v>
      </c>
      <c r="G2368" t="s">
        <v>12</v>
      </c>
      <c r="H2368">
        <f>61611*(1.01^10)</f>
        <v>68056.873768709731</v>
      </c>
      <c r="I2368">
        <f>256075*(1.01^10)</f>
        <v>282866.11076467426</v>
      </c>
      <c r="J2368" t="s">
        <v>7657</v>
      </c>
      <c r="K2368">
        <f t="shared" si="36"/>
        <v>1323.5979166378468</v>
      </c>
    </row>
    <row r="2369" spans="1:11" x14ac:dyDescent="0.2">
      <c r="A2369" t="s">
        <v>356</v>
      </c>
      <c r="B2369" t="s">
        <v>1284</v>
      </c>
      <c r="C2369" t="s">
        <v>7658</v>
      </c>
      <c r="D2369" t="s">
        <v>7659</v>
      </c>
      <c r="E2369" t="s">
        <v>3122</v>
      </c>
      <c r="F2369" t="s">
        <v>24</v>
      </c>
      <c r="G2369" t="s">
        <v>158</v>
      </c>
      <c r="H2369">
        <f>54120*(1.01^10)</f>
        <v>59782.149427254401</v>
      </c>
      <c r="I2369">
        <f>225200*(1.01^10)</f>
        <v>248760.90264260332</v>
      </c>
      <c r="J2369" t="s">
        <v>7660</v>
      </c>
      <c r="K2369">
        <f t="shared" si="36"/>
        <v>3205.2686849968218</v>
      </c>
    </row>
    <row r="2370" spans="1:11" x14ac:dyDescent="0.2">
      <c r="A2370" t="s">
        <v>356</v>
      </c>
      <c r="B2370" t="s">
        <v>1284</v>
      </c>
      <c r="C2370" t="s">
        <v>7661</v>
      </c>
      <c r="D2370" t="s">
        <v>7662</v>
      </c>
      <c r="E2370" t="s">
        <v>1054</v>
      </c>
      <c r="F2370" t="s">
        <v>24</v>
      </c>
      <c r="G2370" t="s">
        <v>5</v>
      </c>
      <c r="H2370">
        <f>42344*(1.01^10)</f>
        <v>46774.11927841205</v>
      </c>
      <c r="I2370">
        <f>176490*(1.01^10)</f>
        <v>194954.75891382352</v>
      </c>
      <c r="J2370" t="s">
        <v>7663</v>
      </c>
      <c r="K2370">
        <f t="shared" si="36"/>
        <v>1436.8717490700435</v>
      </c>
    </row>
    <row r="2371" spans="1:11" x14ac:dyDescent="0.2">
      <c r="A2371" t="s">
        <v>356</v>
      </c>
      <c r="B2371" t="s">
        <v>1284</v>
      </c>
      <c r="C2371" t="s">
        <v>7664</v>
      </c>
      <c r="D2371" t="s">
        <v>7665</v>
      </c>
      <c r="E2371" t="s">
        <v>1229</v>
      </c>
      <c r="F2371" t="s">
        <v>12</v>
      </c>
      <c r="G2371" t="s">
        <v>12</v>
      </c>
      <c r="H2371">
        <f>43636*(1.01^10)</f>
        <v>48201.291064443329</v>
      </c>
      <c r="I2371">
        <f>191673*(1.01^10)</f>
        <v>211726.23664394184</v>
      </c>
      <c r="J2371" t="s">
        <v>7666</v>
      </c>
      <c r="K2371">
        <f t="shared" ref="K2371:K2434" si="37">I2371/J2371</f>
        <v>1539.2674419770399</v>
      </c>
    </row>
    <row r="2372" spans="1:11" x14ac:dyDescent="0.2">
      <c r="A2372" t="s">
        <v>356</v>
      </c>
      <c r="B2372" t="s">
        <v>1284</v>
      </c>
      <c r="C2372" t="s">
        <v>7667</v>
      </c>
      <c r="D2372" t="s">
        <v>7668</v>
      </c>
      <c r="E2372" t="s">
        <v>142</v>
      </c>
      <c r="F2372" t="s">
        <v>24</v>
      </c>
      <c r="G2372" t="s">
        <v>108</v>
      </c>
      <c r="H2372">
        <f>43871*(1.01^10)</f>
        <v>48460.877263914961</v>
      </c>
      <c r="I2372">
        <f>182845*(1.01^10)</f>
        <v>201974.63252081172</v>
      </c>
      <c r="J2372" t="s">
        <v>7669</v>
      </c>
      <c r="K2372">
        <f t="shared" si="37"/>
        <v>3386.5632548761187</v>
      </c>
    </row>
    <row r="2373" spans="1:11" x14ac:dyDescent="0.2">
      <c r="A2373" t="s">
        <v>356</v>
      </c>
      <c r="B2373" t="s">
        <v>1284</v>
      </c>
      <c r="C2373" t="s">
        <v>7670</v>
      </c>
      <c r="D2373" t="s">
        <v>7671</v>
      </c>
      <c r="E2373" t="s">
        <v>274</v>
      </c>
      <c r="F2373" t="s">
        <v>24</v>
      </c>
      <c r="G2373" t="s">
        <v>458</v>
      </c>
      <c r="H2373">
        <f>52525*(1.01^10)</f>
        <v>58020.277137223529</v>
      </c>
      <c r="I2373">
        <f>217171*(1.01^10)</f>
        <v>239891.89159767676</v>
      </c>
      <c r="J2373" t="s">
        <v>7672</v>
      </c>
      <c r="K2373">
        <f t="shared" si="37"/>
        <v>4094.4169926212107</v>
      </c>
    </row>
    <row r="2374" spans="1:11" x14ac:dyDescent="0.2">
      <c r="A2374" t="s">
        <v>356</v>
      </c>
      <c r="B2374" t="s">
        <v>1284</v>
      </c>
      <c r="C2374" t="s">
        <v>7673</v>
      </c>
      <c r="D2374" t="s">
        <v>7674</v>
      </c>
      <c r="E2374" t="s">
        <v>535</v>
      </c>
      <c r="F2374" t="s">
        <v>24</v>
      </c>
      <c r="G2374" t="s">
        <v>382</v>
      </c>
      <c r="H2374">
        <f>67898*(1.01^10)</f>
        <v>75001.633071169985</v>
      </c>
      <c r="I2374">
        <f>294628*(1.01^10)</f>
        <v>325452.6075656524</v>
      </c>
      <c r="J2374" t="s">
        <v>7675</v>
      </c>
      <c r="K2374">
        <f t="shared" si="37"/>
        <v>3312.8319174028138</v>
      </c>
    </row>
    <row r="2375" spans="1:11" x14ac:dyDescent="0.2">
      <c r="A2375" t="s">
        <v>356</v>
      </c>
      <c r="B2375" t="s">
        <v>1284</v>
      </c>
      <c r="C2375" t="s">
        <v>7676</v>
      </c>
      <c r="D2375" t="s">
        <v>7677</v>
      </c>
      <c r="E2375" t="s">
        <v>1054</v>
      </c>
      <c r="F2375" t="s">
        <v>12</v>
      </c>
      <c r="G2375" t="s">
        <v>12</v>
      </c>
      <c r="H2375">
        <f>41939*(1.01^10)</f>
        <v>46326.747317620517</v>
      </c>
      <c r="I2375">
        <f>200918*(1.01^10)</f>
        <v>221938.46819336843</v>
      </c>
      <c r="J2375" t="s">
        <v>7678</v>
      </c>
      <c r="K2375">
        <f t="shared" si="37"/>
        <v>1785.6502389039217</v>
      </c>
    </row>
    <row r="2376" spans="1:11" x14ac:dyDescent="0.2">
      <c r="A2376" t="s">
        <v>356</v>
      </c>
      <c r="B2376" t="s">
        <v>1284</v>
      </c>
      <c r="C2376" t="s">
        <v>7679</v>
      </c>
      <c r="D2376" t="s">
        <v>7680</v>
      </c>
      <c r="E2376" t="s">
        <v>1617</v>
      </c>
      <c r="F2376" t="s">
        <v>24</v>
      </c>
      <c r="G2376" t="s">
        <v>12</v>
      </c>
      <c r="H2376">
        <f>72770*(1.01^10)</f>
        <v>80383.352066173364</v>
      </c>
      <c r="I2376">
        <f>319213*(1.01^10)</f>
        <v>352609.74251888692</v>
      </c>
      <c r="J2376" t="s">
        <v>7681</v>
      </c>
      <c r="K2376">
        <f t="shared" si="37"/>
        <v>1594.9418424049525</v>
      </c>
    </row>
    <row r="2377" spans="1:11" x14ac:dyDescent="0.2">
      <c r="A2377" t="s">
        <v>356</v>
      </c>
      <c r="B2377" t="s">
        <v>1284</v>
      </c>
      <c r="C2377" t="s">
        <v>7682</v>
      </c>
      <c r="D2377" t="s">
        <v>7683</v>
      </c>
      <c r="E2377" t="s">
        <v>32</v>
      </c>
      <c r="F2377" t="s">
        <v>24</v>
      </c>
      <c r="G2377" t="s">
        <v>12</v>
      </c>
      <c r="H2377">
        <f>67671*(1.01^10)</f>
        <v>74750.883848701633</v>
      </c>
      <c r="I2377">
        <f>285319*(1.01^10)</f>
        <v>315169.68020019954</v>
      </c>
      <c r="J2377" t="s">
        <v>7684</v>
      </c>
      <c r="K2377">
        <f t="shared" si="37"/>
        <v>1617.5820170406464</v>
      </c>
    </row>
    <row r="2378" spans="1:11" x14ac:dyDescent="0.2">
      <c r="A2378" t="s">
        <v>356</v>
      </c>
      <c r="B2378" t="s">
        <v>1284</v>
      </c>
      <c r="C2378" t="s">
        <v>7685</v>
      </c>
      <c r="D2378" t="s">
        <v>7686</v>
      </c>
      <c r="E2378" t="s">
        <v>612</v>
      </c>
      <c r="F2378" t="s">
        <v>12</v>
      </c>
      <c r="G2378" t="s">
        <v>11</v>
      </c>
      <c r="H2378">
        <f>38033*(1.01^10)</f>
        <v>42012.093295764353</v>
      </c>
      <c r="I2378">
        <f>171613*(1.01^10)</f>
        <v>189567.51680819309</v>
      </c>
      <c r="J2378" t="s">
        <v>7687</v>
      </c>
      <c r="K2378">
        <f t="shared" si="37"/>
        <v>1794.4672170408282</v>
      </c>
    </row>
    <row r="2379" spans="1:11" x14ac:dyDescent="0.2">
      <c r="A2379" t="s">
        <v>356</v>
      </c>
      <c r="B2379" t="s">
        <v>1284</v>
      </c>
      <c r="C2379" t="s">
        <v>7688</v>
      </c>
      <c r="D2379" t="s">
        <v>7689</v>
      </c>
      <c r="E2379" t="s">
        <v>232</v>
      </c>
      <c r="F2379" t="s">
        <v>12</v>
      </c>
      <c r="G2379" t="s">
        <v>11</v>
      </c>
      <c r="H2379">
        <f>51806*(1.01^10)</f>
        <v>57226.053829052871</v>
      </c>
      <c r="I2379">
        <f>226130*(1.01^10)</f>
        <v>249788.20121923572</v>
      </c>
      <c r="J2379" t="s">
        <v>7690</v>
      </c>
      <c r="K2379">
        <f t="shared" si="37"/>
        <v>1775.5772051409988</v>
      </c>
    </row>
    <row r="2380" spans="1:11" x14ac:dyDescent="0.2">
      <c r="A2380" t="s">
        <v>356</v>
      </c>
      <c r="B2380" t="s">
        <v>1284</v>
      </c>
      <c r="C2380" t="s">
        <v>7691</v>
      </c>
      <c r="D2380" t="s">
        <v>7692</v>
      </c>
      <c r="E2380" t="s">
        <v>2395</v>
      </c>
      <c r="F2380" t="s">
        <v>24</v>
      </c>
      <c r="G2380" t="s">
        <v>24</v>
      </c>
      <c r="H2380">
        <f>46888*(1.01^10)</f>
        <v>51793.522216280566</v>
      </c>
      <c r="I2380">
        <f>214401*(1.01^10)</f>
        <v>236832.08831028771</v>
      </c>
      <c r="J2380" t="s">
        <v>7693</v>
      </c>
      <c r="K2380">
        <f t="shared" si="37"/>
        <v>1436.9043302265213</v>
      </c>
    </row>
    <row r="2381" spans="1:11" x14ac:dyDescent="0.2">
      <c r="A2381" t="s">
        <v>356</v>
      </c>
      <c r="B2381" t="s">
        <v>1284</v>
      </c>
      <c r="C2381" t="s">
        <v>7694</v>
      </c>
      <c r="D2381" t="s">
        <v>7695</v>
      </c>
      <c r="E2381" t="s">
        <v>1656</v>
      </c>
      <c r="F2381" t="s">
        <v>12</v>
      </c>
      <c r="G2381" t="s">
        <v>744</v>
      </c>
      <c r="H2381">
        <f>42910*(1.01^10)</f>
        <v>47399.335401394797</v>
      </c>
      <c r="I2381">
        <f>189893*(1.01^10)</f>
        <v>209760.00926070989</v>
      </c>
      <c r="J2381" t="s">
        <v>7696</v>
      </c>
      <c r="K2381">
        <f t="shared" si="37"/>
        <v>2371.2413436661759</v>
      </c>
    </row>
    <row r="2382" spans="1:11" x14ac:dyDescent="0.2">
      <c r="A2382" t="s">
        <v>356</v>
      </c>
      <c r="B2382" t="s">
        <v>1284</v>
      </c>
      <c r="C2382" t="s">
        <v>7697</v>
      </c>
      <c r="D2382" t="s">
        <v>7698</v>
      </c>
      <c r="E2382" t="s">
        <v>1106</v>
      </c>
      <c r="F2382" t="s">
        <v>24</v>
      </c>
      <c r="G2382" t="s">
        <v>17</v>
      </c>
      <c r="H2382">
        <f>43756*(1.01^10)</f>
        <v>48333.845719492674</v>
      </c>
      <c r="I2382">
        <f>199084*(1.01^10)</f>
        <v>219912.59121536429</v>
      </c>
      <c r="J2382" t="s">
        <v>7699</v>
      </c>
      <c r="K2382">
        <f t="shared" si="37"/>
        <v>1394.9419043156631</v>
      </c>
    </row>
    <row r="2383" spans="1:11" x14ac:dyDescent="0.2">
      <c r="A2383" t="s">
        <v>356</v>
      </c>
      <c r="B2383" t="s">
        <v>1284</v>
      </c>
      <c r="C2383" t="s">
        <v>7700</v>
      </c>
      <c r="D2383" t="s">
        <v>7701</v>
      </c>
      <c r="E2383" t="s">
        <v>1656</v>
      </c>
      <c r="F2383" t="s">
        <v>24</v>
      </c>
      <c r="G2383" t="s">
        <v>24</v>
      </c>
      <c r="H2383">
        <f>37344*(1.01^10)</f>
        <v>41251.008651356031</v>
      </c>
      <c r="I2383">
        <f>164465*(1.01^10)</f>
        <v>181671.67785575378</v>
      </c>
      <c r="J2383" t="s">
        <v>7702</v>
      </c>
      <c r="K2383">
        <f t="shared" si="37"/>
        <v>961.32753654224678</v>
      </c>
    </row>
    <row r="2384" spans="1:11" x14ac:dyDescent="0.2">
      <c r="A2384" t="s">
        <v>356</v>
      </c>
      <c r="B2384" t="s">
        <v>1284</v>
      </c>
      <c r="C2384" t="s">
        <v>7703</v>
      </c>
      <c r="D2384" t="s">
        <v>7704</v>
      </c>
      <c r="E2384" t="s">
        <v>726</v>
      </c>
      <c r="F2384" t="s">
        <v>24</v>
      </c>
      <c r="G2384" t="s">
        <v>24</v>
      </c>
      <c r="H2384">
        <f>37771*(1.01^10)</f>
        <v>41722.682298906613</v>
      </c>
      <c r="I2384">
        <f>160976*(1.01^10)</f>
        <v>177817.65126019411</v>
      </c>
      <c r="J2384" t="s">
        <v>7705</v>
      </c>
      <c r="K2384">
        <f t="shared" si="37"/>
        <v>896.6198631514427</v>
      </c>
    </row>
    <row r="2385" spans="1:11" x14ac:dyDescent="0.2">
      <c r="A2385" t="s">
        <v>356</v>
      </c>
      <c r="B2385" t="s">
        <v>1284</v>
      </c>
      <c r="C2385" t="s">
        <v>7706</v>
      </c>
      <c r="D2385" t="s">
        <v>7707</v>
      </c>
      <c r="E2385" t="s">
        <v>1106</v>
      </c>
      <c r="F2385" t="s">
        <v>12</v>
      </c>
      <c r="G2385" t="s">
        <v>12</v>
      </c>
      <c r="H2385">
        <f>47739*(1.01^10)</f>
        <v>52733.555645005501</v>
      </c>
      <c r="I2385">
        <f>203262*(1.01^10)</f>
        <v>224527.7024553323</v>
      </c>
      <c r="J2385" t="s">
        <v>7708</v>
      </c>
      <c r="K2385">
        <f t="shared" si="37"/>
        <v>1455.9866575146377</v>
      </c>
    </row>
    <row r="2386" spans="1:11" x14ac:dyDescent="0.2">
      <c r="A2386" t="s">
        <v>356</v>
      </c>
      <c r="B2386" t="s">
        <v>1284</v>
      </c>
      <c r="C2386" t="s">
        <v>7709</v>
      </c>
      <c r="D2386" t="s">
        <v>7710</v>
      </c>
      <c r="E2386" t="s">
        <v>176</v>
      </c>
      <c r="F2386" t="s">
        <v>24</v>
      </c>
      <c r="G2386" t="s">
        <v>17</v>
      </c>
      <c r="H2386">
        <f>46048*(1.01^10)</f>
        <v>50865.639630935155</v>
      </c>
      <c r="I2386">
        <f>174545*(1.01^10)</f>
        <v>192806.26887989874</v>
      </c>
      <c r="J2386" t="s">
        <v>7711</v>
      </c>
      <c r="K2386">
        <f t="shared" si="37"/>
        <v>679.03877185285182</v>
      </c>
    </row>
    <row r="2387" spans="1:11" x14ac:dyDescent="0.2">
      <c r="A2387" t="s">
        <v>356</v>
      </c>
      <c r="B2387" t="s">
        <v>1284</v>
      </c>
      <c r="C2387" t="s">
        <v>6484</v>
      </c>
      <c r="D2387" t="s">
        <v>6485</v>
      </c>
      <c r="E2387" t="s">
        <v>24</v>
      </c>
      <c r="F2387" t="s">
        <v>24</v>
      </c>
      <c r="G2387" t="s">
        <v>220</v>
      </c>
      <c r="H2387">
        <f>1180224*(1.01^10)</f>
        <v>1303701.5433413137</v>
      </c>
      <c r="I2387">
        <f>5001716*(1.01^10)</f>
        <v>5525006.1586232297</v>
      </c>
      <c r="J2387" t="s">
        <v>7712</v>
      </c>
      <c r="K2387">
        <f t="shared" si="37"/>
        <v>12143.938277262243</v>
      </c>
    </row>
    <row r="2388" spans="1:11" x14ac:dyDescent="0.2">
      <c r="A2388" t="s">
        <v>356</v>
      </c>
      <c r="B2388" t="s">
        <v>2276</v>
      </c>
      <c r="C2388" t="s">
        <v>7713</v>
      </c>
      <c r="D2388" t="s">
        <v>7714</v>
      </c>
      <c r="E2388" t="s">
        <v>611</v>
      </c>
      <c r="F2388" t="s">
        <v>17</v>
      </c>
      <c r="G2388" t="s">
        <v>24</v>
      </c>
      <c r="H2388">
        <f>31203*(1.01^10)</f>
        <v>34467.524179205822</v>
      </c>
      <c r="I2388">
        <f>140030*(1.01^10)</f>
        <v>154680.236221331</v>
      </c>
      <c r="J2388" t="s">
        <v>7715</v>
      </c>
      <c r="K2388">
        <f t="shared" si="37"/>
        <v>838.56154753443775</v>
      </c>
    </row>
    <row r="2389" spans="1:11" x14ac:dyDescent="0.2">
      <c r="A2389" t="s">
        <v>356</v>
      </c>
      <c r="B2389" t="s">
        <v>2276</v>
      </c>
      <c r="C2389" t="s">
        <v>7716</v>
      </c>
      <c r="D2389" t="s">
        <v>7717</v>
      </c>
      <c r="E2389" t="s">
        <v>1303</v>
      </c>
      <c r="F2389" t="s">
        <v>17</v>
      </c>
      <c r="G2389" t="s">
        <v>24</v>
      </c>
      <c r="H2389">
        <f>35446*(1.01^10)</f>
        <v>39154.435857325567</v>
      </c>
      <c r="I2389">
        <f>160585*(1.01^10)</f>
        <v>177385.74400915831</v>
      </c>
      <c r="J2389" t="s">
        <v>7718</v>
      </c>
      <c r="K2389">
        <f t="shared" si="37"/>
        <v>931.20124769046754</v>
      </c>
    </row>
    <row r="2390" spans="1:11" x14ac:dyDescent="0.2">
      <c r="A2390" t="s">
        <v>356</v>
      </c>
      <c r="B2390" t="s">
        <v>2276</v>
      </c>
      <c r="C2390" t="s">
        <v>7719</v>
      </c>
      <c r="D2390" t="s">
        <v>7720</v>
      </c>
      <c r="E2390" t="s">
        <v>453</v>
      </c>
      <c r="F2390" t="s">
        <v>6</v>
      </c>
      <c r="G2390" t="s">
        <v>24</v>
      </c>
      <c r="H2390">
        <f>64245*(1.01^10)</f>
        <v>70966.448447042843</v>
      </c>
      <c r="I2390">
        <f>285207*(1.01^10)</f>
        <v>315045.96252215345</v>
      </c>
      <c r="J2390" t="s">
        <v>7721</v>
      </c>
      <c r="K2390">
        <f t="shared" si="37"/>
        <v>1141.0710554535524</v>
      </c>
    </row>
    <row r="2391" spans="1:11" x14ac:dyDescent="0.2">
      <c r="A2391" t="s">
        <v>356</v>
      </c>
      <c r="B2391" t="s">
        <v>2276</v>
      </c>
      <c r="C2391" t="s">
        <v>7722</v>
      </c>
      <c r="D2391" t="s">
        <v>7723</v>
      </c>
      <c r="E2391" t="s">
        <v>180</v>
      </c>
      <c r="F2391" t="s">
        <v>24</v>
      </c>
      <c r="G2391" t="s">
        <v>24</v>
      </c>
      <c r="H2391">
        <f>39752*(1.01^10)</f>
        <v>43910.938729346213</v>
      </c>
      <c r="I2391">
        <f>173437*(1.01^10)</f>
        <v>191582.34756494311</v>
      </c>
      <c r="J2391" t="s">
        <v>7724</v>
      </c>
      <c r="K2391">
        <f t="shared" si="37"/>
        <v>1876.9277508738885</v>
      </c>
    </row>
    <row r="2392" spans="1:11" x14ac:dyDescent="0.2">
      <c r="A2392" t="s">
        <v>356</v>
      </c>
      <c r="B2392" t="s">
        <v>2276</v>
      </c>
      <c r="C2392" t="s">
        <v>7725</v>
      </c>
      <c r="D2392" t="s">
        <v>7726</v>
      </c>
      <c r="E2392" t="s">
        <v>1387</v>
      </c>
      <c r="F2392" t="s">
        <v>12</v>
      </c>
      <c r="G2392" t="s">
        <v>24</v>
      </c>
      <c r="H2392">
        <f>41975*(1.01^10)</f>
        <v>46366.513714135319</v>
      </c>
      <c r="I2392">
        <f>179148*(1.01^10)</f>
        <v>197890.84452316651</v>
      </c>
      <c r="J2392" t="s">
        <v>7727</v>
      </c>
      <c r="K2392">
        <f t="shared" si="37"/>
        <v>1700.9681290202964</v>
      </c>
    </row>
    <row r="2393" spans="1:11" x14ac:dyDescent="0.2">
      <c r="A2393" t="s">
        <v>356</v>
      </c>
      <c r="B2393" t="s">
        <v>2276</v>
      </c>
      <c r="C2393" t="s">
        <v>7728</v>
      </c>
      <c r="D2393" t="s">
        <v>7729</v>
      </c>
      <c r="E2393" t="s">
        <v>786</v>
      </c>
      <c r="F2393" t="s">
        <v>24</v>
      </c>
      <c r="G2393" t="s">
        <v>24</v>
      </c>
      <c r="H2393">
        <f>78260*(1.01^10)</f>
        <v>86447.727534680889</v>
      </c>
      <c r="I2393">
        <f>320534*(1.01^10)</f>
        <v>354068.94834655512</v>
      </c>
      <c r="J2393" t="s">
        <v>7730</v>
      </c>
      <c r="K2393">
        <f t="shared" si="37"/>
        <v>1276.5106138897388</v>
      </c>
    </row>
    <row r="2394" spans="1:11" x14ac:dyDescent="0.2">
      <c r="A2394" t="s">
        <v>356</v>
      </c>
      <c r="B2394" t="s">
        <v>2276</v>
      </c>
      <c r="C2394" t="s">
        <v>7731</v>
      </c>
      <c r="D2394" t="s">
        <v>7732</v>
      </c>
      <c r="E2394" t="s">
        <v>1140</v>
      </c>
      <c r="F2394" t="s">
        <v>12</v>
      </c>
      <c r="G2394" t="s">
        <v>5</v>
      </c>
      <c r="H2394">
        <f>74139*(1.01^10)</f>
        <v>81895.579755861312</v>
      </c>
      <c r="I2394">
        <f>316197*(1.01^10)</f>
        <v>349278.20218864671</v>
      </c>
      <c r="J2394" t="s">
        <v>7733</v>
      </c>
      <c r="K2394">
        <f t="shared" si="37"/>
        <v>1230.1067693736084</v>
      </c>
    </row>
    <row r="2395" spans="1:11" x14ac:dyDescent="0.2">
      <c r="A2395" t="s">
        <v>356</v>
      </c>
      <c r="B2395" t="s">
        <v>2276</v>
      </c>
      <c r="C2395" t="s">
        <v>7734</v>
      </c>
      <c r="D2395" t="s">
        <v>7735</v>
      </c>
      <c r="E2395" t="s">
        <v>761</v>
      </c>
      <c r="F2395" t="s">
        <v>11</v>
      </c>
      <c r="G2395" t="s">
        <v>5</v>
      </c>
      <c r="H2395">
        <f>55881*(1.01^10)</f>
        <v>61727.388990103529</v>
      </c>
      <c r="I2395">
        <f>228998*(1.01^10)</f>
        <v>252956.25747491507</v>
      </c>
      <c r="J2395" t="s">
        <v>7736</v>
      </c>
      <c r="K2395">
        <f t="shared" si="37"/>
        <v>1272.2395411205703</v>
      </c>
    </row>
    <row r="2396" spans="1:11" x14ac:dyDescent="0.2">
      <c r="A2396" t="s">
        <v>356</v>
      </c>
      <c r="B2396" t="s">
        <v>2276</v>
      </c>
      <c r="C2396" t="s">
        <v>7737</v>
      </c>
      <c r="D2396" t="s">
        <v>7738</v>
      </c>
      <c r="E2396" t="s">
        <v>126</v>
      </c>
      <c r="F2396" t="s">
        <v>24</v>
      </c>
      <c r="G2396" t="s">
        <v>274</v>
      </c>
      <c r="H2396">
        <f>57082*(1.01^10)</f>
        <v>63054.040162722391</v>
      </c>
      <c r="I2396">
        <f>244383*(1.01^10)</f>
        <v>269950.86887436645</v>
      </c>
      <c r="J2396" t="s">
        <v>7739</v>
      </c>
      <c r="K2396">
        <f t="shared" si="37"/>
        <v>4156.8224726583458</v>
      </c>
    </row>
    <row r="2397" spans="1:11" x14ac:dyDescent="0.2">
      <c r="A2397" t="s">
        <v>356</v>
      </c>
      <c r="B2397" t="s">
        <v>2276</v>
      </c>
      <c r="C2397" t="s">
        <v>7740</v>
      </c>
      <c r="D2397" t="s">
        <v>7741</v>
      </c>
      <c r="E2397" t="s">
        <v>133</v>
      </c>
      <c r="F2397" t="s">
        <v>12</v>
      </c>
      <c r="G2397" t="s">
        <v>24</v>
      </c>
      <c r="H2397">
        <f>62151*(1.01^10)</f>
        <v>68653.369716431785</v>
      </c>
      <c r="I2397">
        <f>263555*(1.01^10)</f>
        <v>291128.68426275009</v>
      </c>
      <c r="J2397" t="s">
        <v>7742</v>
      </c>
      <c r="K2397">
        <f t="shared" si="37"/>
        <v>1003.628717366252</v>
      </c>
    </row>
    <row r="2398" spans="1:11" x14ac:dyDescent="0.2">
      <c r="A2398" t="s">
        <v>356</v>
      </c>
      <c r="B2398" t="s">
        <v>2276</v>
      </c>
      <c r="C2398" t="s">
        <v>7743</v>
      </c>
      <c r="D2398" t="s">
        <v>7744</v>
      </c>
      <c r="E2398" t="s">
        <v>453</v>
      </c>
      <c r="F2398" t="s">
        <v>12</v>
      </c>
      <c r="G2398" t="s">
        <v>12</v>
      </c>
      <c r="H2398">
        <f>60041*(1.01^10)</f>
        <v>66322.617031814138</v>
      </c>
      <c r="I2398">
        <f>261073*(1.01^10)</f>
        <v>288387.01214747946</v>
      </c>
      <c r="J2398" t="s">
        <v>7745</v>
      </c>
      <c r="K2398">
        <f t="shared" si="37"/>
        <v>1556.1387570199051</v>
      </c>
    </row>
    <row r="2399" spans="1:11" x14ac:dyDescent="0.2">
      <c r="A2399" t="s">
        <v>356</v>
      </c>
      <c r="B2399" t="s">
        <v>2276</v>
      </c>
      <c r="C2399" t="s">
        <v>7746</v>
      </c>
      <c r="D2399" t="s">
        <v>7747</v>
      </c>
      <c r="E2399" t="s">
        <v>148</v>
      </c>
      <c r="F2399" t="s">
        <v>17</v>
      </c>
      <c r="G2399" t="s">
        <v>158</v>
      </c>
      <c r="H2399">
        <f>64703*(1.01^10)</f>
        <v>71472.365380481177</v>
      </c>
      <c r="I2399">
        <f>276413*(1.01^10)</f>
        <v>305331.91555128735</v>
      </c>
      <c r="J2399" t="s">
        <v>7748</v>
      </c>
      <c r="K2399">
        <f t="shared" si="37"/>
        <v>1850.9797643884763</v>
      </c>
    </row>
    <row r="2400" spans="1:11" x14ac:dyDescent="0.2">
      <c r="A2400" t="s">
        <v>356</v>
      </c>
      <c r="B2400" t="s">
        <v>2276</v>
      </c>
      <c r="C2400" t="s">
        <v>7749</v>
      </c>
      <c r="D2400" t="s">
        <v>7750</v>
      </c>
      <c r="E2400" t="s">
        <v>458</v>
      </c>
      <c r="F2400" t="s">
        <v>17</v>
      </c>
      <c r="G2400" t="s">
        <v>744</v>
      </c>
      <c r="H2400">
        <f>37260*(1.01^10)</f>
        <v>41158.220392821488</v>
      </c>
      <c r="I2400">
        <f>152266*(1.01^10)</f>
        <v>168196.39254786249</v>
      </c>
      <c r="J2400" t="s">
        <v>7751</v>
      </c>
      <c r="K2400">
        <f t="shared" si="37"/>
        <v>5072.3144335499355</v>
      </c>
    </row>
    <row r="2401" spans="1:11" x14ac:dyDescent="0.2">
      <c r="A2401" t="s">
        <v>356</v>
      </c>
      <c r="B2401" t="s">
        <v>2276</v>
      </c>
      <c r="C2401" t="s">
        <v>7752</v>
      </c>
      <c r="D2401" t="s">
        <v>7753</v>
      </c>
      <c r="E2401" t="s">
        <v>764</v>
      </c>
      <c r="F2401" t="s">
        <v>24</v>
      </c>
      <c r="G2401" t="s">
        <v>744</v>
      </c>
      <c r="H2401">
        <f>37681*(1.01^10)</f>
        <v>41623.266307619604</v>
      </c>
      <c r="I2401">
        <f>179825*(1.01^10)</f>
        <v>198638.67370206991</v>
      </c>
      <c r="J2401" t="s">
        <v>7754</v>
      </c>
      <c r="K2401">
        <f t="shared" si="37"/>
        <v>2114.1817490425951</v>
      </c>
    </row>
    <row r="2402" spans="1:11" x14ac:dyDescent="0.2">
      <c r="A2402" t="s">
        <v>356</v>
      </c>
      <c r="B2402" t="s">
        <v>2276</v>
      </c>
      <c r="C2402" t="s">
        <v>7755</v>
      </c>
      <c r="D2402" t="s">
        <v>7756</v>
      </c>
      <c r="E2402" t="s">
        <v>422</v>
      </c>
      <c r="F2402" t="s">
        <v>24</v>
      </c>
      <c r="G2402" t="s">
        <v>274</v>
      </c>
      <c r="H2402">
        <f>37678*(1.01^10)</f>
        <v>41619.952441243375</v>
      </c>
      <c r="I2402">
        <f>158396*(1.01^10)</f>
        <v>174967.72617663318</v>
      </c>
      <c r="J2402" t="s">
        <v>7757</v>
      </c>
      <c r="K2402">
        <f t="shared" si="37"/>
        <v>3505.9170903849435</v>
      </c>
    </row>
    <row r="2403" spans="1:11" x14ac:dyDescent="0.2">
      <c r="A2403" t="s">
        <v>356</v>
      </c>
      <c r="B2403" t="s">
        <v>2276</v>
      </c>
      <c r="C2403" t="s">
        <v>7758</v>
      </c>
      <c r="D2403" t="s">
        <v>7759</v>
      </c>
      <c r="E2403" t="s">
        <v>555</v>
      </c>
      <c r="F2403" t="s">
        <v>24</v>
      </c>
      <c r="G2403" t="s">
        <v>12</v>
      </c>
      <c r="H2403">
        <f>48900*(1.01^10)</f>
        <v>54016.02193260791</v>
      </c>
      <c r="I2403">
        <f>221578*(1.01^10)</f>
        <v>244759.96130436391</v>
      </c>
      <c r="J2403" t="s">
        <v>7760</v>
      </c>
      <c r="K2403">
        <f t="shared" si="37"/>
        <v>1495.6904755449016</v>
      </c>
    </row>
    <row r="2404" spans="1:11" x14ac:dyDescent="0.2">
      <c r="A2404" t="s">
        <v>356</v>
      </c>
      <c r="B2404" t="s">
        <v>2276</v>
      </c>
      <c r="C2404" t="s">
        <v>7761</v>
      </c>
      <c r="D2404" t="s">
        <v>7762</v>
      </c>
      <c r="E2404" t="s">
        <v>589</v>
      </c>
      <c r="F2404" t="s">
        <v>12</v>
      </c>
      <c r="G2404" t="s">
        <v>24</v>
      </c>
      <c r="H2404">
        <f>56890*(1.01^10)</f>
        <v>62841.952714643441</v>
      </c>
      <c r="I2404">
        <f>254434*(1.01^10)</f>
        <v>281053.42585687444</v>
      </c>
      <c r="J2404" t="s">
        <v>7763</v>
      </c>
      <c r="K2404">
        <f t="shared" si="37"/>
        <v>1609.1264988721891</v>
      </c>
    </row>
    <row r="2405" spans="1:11" x14ac:dyDescent="0.2">
      <c r="A2405" t="s">
        <v>356</v>
      </c>
      <c r="B2405" t="s">
        <v>2276</v>
      </c>
      <c r="C2405" t="s">
        <v>7764</v>
      </c>
      <c r="D2405" t="s">
        <v>7765</v>
      </c>
      <c r="E2405" t="s">
        <v>126</v>
      </c>
      <c r="F2405" t="s">
        <v>12</v>
      </c>
      <c r="G2405" t="s">
        <v>24</v>
      </c>
      <c r="H2405">
        <f>41278*(1.01^10)</f>
        <v>45596.592092723709</v>
      </c>
      <c r="I2405">
        <f>184734*(1.01^10)</f>
        <v>204061.26371571349</v>
      </c>
      <c r="J2405" t="s">
        <v>7766</v>
      </c>
      <c r="K2405">
        <f t="shared" si="37"/>
        <v>1650.242741923902</v>
      </c>
    </row>
    <row r="2406" spans="1:11" x14ac:dyDescent="0.2">
      <c r="A2406" t="s">
        <v>356</v>
      </c>
      <c r="B2406" t="s">
        <v>2276</v>
      </c>
      <c r="C2406" t="s">
        <v>6484</v>
      </c>
      <c r="D2406" t="s">
        <v>6485</v>
      </c>
      <c r="E2406" t="s">
        <v>24</v>
      </c>
      <c r="F2406" t="s">
        <v>24</v>
      </c>
      <c r="G2406" t="s">
        <v>458</v>
      </c>
      <c r="H2406">
        <f>362858*(1.01^10)</f>
        <v>400820.97518245893</v>
      </c>
      <c r="I2406">
        <f>1518352*(1.01^10)</f>
        <v>1677205.2133623536</v>
      </c>
      <c r="J2406" t="s">
        <v>7767</v>
      </c>
      <c r="K2406">
        <f t="shared" si="37"/>
        <v>9577.4623878617731</v>
      </c>
    </row>
    <row r="2407" spans="1:11" x14ac:dyDescent="0.2">
      <c r="A2407" t="s">
        <v>356</v>
      </c>
      <c r="B2407" t="s">
        <v>2221</v>
      </c>
      <c r="C2407" t="s">
        <v>7768</v>
      </c>
      <c r="D2407" t="s">
        <v>7769</v>
      </c>
      <c r="E2407" t="s">
        <v>1352</v>
      </c>
      <c r="F2407" t="s">
        <v>382</v>
      </c>
      <c r="G2407" t="s">
        <v>24</v>
      </c>
      <c r="H2407">
        <f>28115*(1.01^10)</f>
        <v>31056.451055936021</v>
      </c>
      <c r="I2407">
        <f>135980*(1.01^10)</f>
        <v>150206.51661341562</v>
      </c>
      <c r="J2407" t="s">
        <v>7770</v>
      </c>
      <c r="K2407">
        <f t="shared" si="37"/>
        <v>465.32752853993242</v>
      </c>
    </row>
    <row r="2408" spans="1:11" x14ac:dyDescent="0.2">
      <c r="A2408" t="s">
        <v>356</v>
      </c>
      <c r="B2408" t="s">
        <v>2221</v>
      </c>
      <c r="C2408" t="s">
        <v>7771</v>
      </c>
      <c r="D2408" t="s">
        <v>7772</v>
      </c>
      <c r="E2408" t="s">
        <v>777</v>
      </c>
      <c r="F2408" t="s">
        <v>11</v>
      </c>
      <c r="G2408" t="s">
        <v>24</v>
      </c>
      <c r="H2408">
        <f>17659*(1.01^10)</f>
        <v>19506.522112636463</v>
      </c>
      <c r="I2408">
        <f>86188*(1.01^10)</f>
        <v>95205.171744940919</v>
      </c>
      <c r="J2408" t="s">
        <v>7773</v>
      </c>
      <c r="K2408">
        <f t="shared" si="37"/>
        <v>576.14819521964455</v>
      </c>
    </row>
    <row r="2409" spans="1:11" x14ac:dyDescent="0.2">
      <c r="A2409" t="s">
        <v>356</v>
      </c>
      <c r="B2409" t="s">
        <v>2221</v>
      </c>
      <c r="C2409" t="s">
        <v>7774</v>
      </c>
      <c r="D2409" t="s">
        <v>7775</v>
      </c>
      <c r="E2409" t="s">
        <v>540</v>
      </c>
      <c r="F2409" t="s">
        <v>744</v>
      </c>
      <c r="G2409" t="s">
        <v>24</v>
      </c>
      <c r="H2409">
        <f>37878*(1.01^10)</f>
        <v>41840.876866325612</v>
      </c>
      <c r="I2409">
        <f>180974*(1.01^10)</f>
        <v>199907.88452416737</v>
      </c>
      <c r="J2409" t="s">
        <v>7776</v>
      </c>
      <c r="K2409">
        <f t="shared" si="37"/>
        <v>527.35027689730089</v>
      </c>
    </row>
    <row r="2410" spans="1:11" x14ac:dyDescent="0.2">
      <c r="A2410" t="s">
        <v>356</v>
      </c>
      <c r="B2410" t="s">
        <v>2221</v>
      </c>
      <c r="C2410" t="s">
        <v>7777</v>
      </c>
      <c r="D2410" t="s">
        <v>7778</v>
      </c>
      <c r="E2410" t="s">
        <v>455</v>
      </c>
      <c r="F2410" t="s">
        <v>405</v>
      </c>
      <c r="G2410" t="s">
        <v>12</v>
      </c>
      <c r="H2410">
        <f>40009*(1.01^10)</f>
        <v>44194.826615576894</v>
      </c>
      <c r="I2410">
        <f>195038*(1.01^10)</f>
        <v>215443.29009595056</v>
      </c>
      <c r="J2410" t="s">
        <v>7779</v>
      </c>
      <c r="K2410">
        <f t="shared" si="37"/>
        <v>491.68981960929273</v>
      </c>
    </row>
    <row r="2411" spans="1:11" x14ac:dyDescent="0.2">
      <c r="A2411" t="s">
        <v>356</v>
      </c>
      <c r="B2411" t="s">
        <v>2221</v>
      </c>
      <c r="C2411" t="s">
        <v>7780</v>
      </c>
      <c r="D2411" t="s">
        <v>7781</v>
      </c>
      <c r="E2411" t="s">
        <v>284</v>
      </c>
      <c r="F2411" t="s">
        <v>726</v>
      </c>
      <c r="G2411" t="s">
        <v>24</v>
      </c>
      <c r="H2411">
        <f>31668*(1.01^10)</f>
        <v>34981.173467522029</v>
      </c>
      <c r="I2411">
        <f>156522*(1.01^10)</f>
        <v>172897.66431361259</v>
      </c>
      <c r="J2411" t="s">
        <v>7782</v>
      </c>
      <c r="K2411">
        <f t="shared" si="37"/>
        <v>577.57261845156188</v>
      </c>
    </row>
    <row r="2412" spans="1:11" x14ac:dyDescent="0.2">
      <c r="A2412" t="s">
        <v>356</v>
      </c>
      <c r="B2412" t="s">
        <v>2221</v>
      </c>
      <c r="C2412" t="s">
        <v>7783</v>
      </c>
      <c r="D2412" t="s">
        <v>7784</v>
      </c>
      <c r="E2412" t="s">
        <v>771</v>
      </c>
      <c r="F2412" t="s">
        <v>458</v>
      </c>
      <c r="G2412" t="s">
        <v>24</v>
      </c>
      <c r="H2412">
        <f>21917*(1.01^10)</f>
        <v>24210.003122637376</v>
      </c>
      <c r="I2412">
        <f>107685*(1.01^10)</f>
        <v>118951.23357490558</v>
      </c>
      <c r="J2412" t="s">
        <v>7785</v>
      </c>
      <c r="K2412">
        <f t="shared" si="37"/>
        <v>707.04527545576479</v>
      </c>
    </row>
    <row r="2413" spans="1:11" x14ac:dyDescent="0.2">
      <c r="A2413" t="s">
        <v>356</v>
      </c>
      <c r="B2413" t="s">
        <v>2221</v>
      </c>
      <c r="C2413" t="s">
        <v>7786</v>
      </c>
      <c r="D2413" t="s">
        <v>7787</v>
      </c>
      <c r="E2413" t="s">
        <v>2162</v>
      </c>
      <c r="F2413" t="s">
        <v>405</v>
      </c>
      <c r="G2413" t="s">
        <v>24</v>
      </c>
      <c r="H2413">
        <f>29502*(1.01^10)</f>
        <v>32588.561943881363</v>
      </c>
      <c r="I2413">
        <f>140864*(1.01^10)</f>
        <v>155601.49107392394</v>
      </c>
      <c r="J2413" t="s">
        <v>7788</v>
      </c>
      <c r="K2413">
        <f t="shared" si="37"/>
        <v>678.09101876487705</v>
      </c>
    </row>
    <row r="2414" spans="1:11" x14ac:dyDescent="0.2">
      <c r="A2414" t="s">
        <v>356</v>
      </c>
      <c r="B2414" t="s">
        <v>2221</v>
      </c>
      <c r="C2414" t="s">
        <v>7789</v>
      </c>
      <c r="D2414" t="s">
        <v>7790</v>
      </c>
      <c r="E2414" t="s">
        <v>1227</v>
      </c>
      <c r="F2414" t="s">
        <v>44</v>
      </c>
      <c r="G2414" t="s">
        <v>11</v>
      </c>
      <c r="H2414">
        <f>44421*(1.01^10)</f>
        <v>49068.419432891125</v>
      </c>
      <c r="I2414">
        <f>202049*(1.01^10)</f>
        <v>223187.79581720851</v>
      </c>
      <c r="J2414" t="s">
        <v>7791</v>
      </c>
      <c r="K2414">
        <f t="shared" si="37"/>
        <v>575.90637203744734</v>
      </c>
    </row>
    <row r="2415" spans="1:11" x14ac:dyDescent="0.2">
      <c r="A2415" t="s">
        <v>356</v>
      </c>
      <c r="B2415" t="s">
        <v>2221</v>
      </c>
      <c r="C2415" t="s">
        <v>7792</v>
      </c>
      <c r="D2415" t="s">
        <v>7793</v>
      </c>
      <c r="E2415" t="s">
        <v>269</v>
      </c>
      <c r="F2415" t="s">
        <v>77</v>
      </c>
      <c r="G2415" t="s">
        <v>24</v>
      </c>
      <c r="H2415">
        <f>35022*(1.01^10)</f>
        <v>38686.076076151214</v>
      </c>
      <c r="I2415">
        <f>158697*(1.01^10)</f>
        <v>175300.21743638196</v>
      </c>
      <c r="J2415" t="s">
        <v>7794</v>
      </c>
      <c r="K2415">
        <f t="shared" si="37"/>
        <v>467.09151185137847</v>
      </c>
    </row>
    <row r="2416" spans="1:11" x14ac:dyDescent="0.2">
      <c r="A2416" t="s">
        <v>356</v>
      </c>
      <c r="B2416" t="s">
        <v>2221</v>
      </c>
      <c r="C2416" t="s">
        <v>7795</v>
      </c>
      <c r="D2416" t="s">
        <v>7796</v>
      </c>
      <c r="E2416" t="s">
        <v>413</v>
      </c>
      <c r="F2416" t="s">
        <v>744</v>
      </c>
      <c r="G2416" t="s">
        <v>24</v>
      </c>
      <c r="H2416">
        <f>40653*(1.01^10)</f>
        <v>44906.203264341704</v>
      </c>
      <c r="I2416">
        <f>184070*(1.01^10)</f>
        <v>203327.79462444046</v>
      </c>
      <c r="J2416" t="s">
        <v>7797</v>
      </c>
      <c r="K2416">
        <f t="shared" si="37"/>
        <v>611.50282312949707</v>
      </c>
    </row>
    <row r="2417" spans="1:11" x14ac:dyDescent="0.2">
      <c r="A2417" t="s">
        <v>356</v>
      </c>
      <c r="B2417" t="s">
        <v>2221</v>
      </c>
      <c r="C2417" t="s">
        <v>7798</v>
      </c>
      <c r="D2417" t="s">
        <v>7799</v>
      </c>
      <c r="E2417" t="s">
        <v>761</v>
      </c>
      <c r="F2417" t="s">
        <v>17</v>
      </c>
      <c r="G2417" t="s">
        <v>24</v>
      </c>
      <c r="H2417">
        <f>37650*(1.01^10)</f>
        <v>41589.02302173186</v>
      </c>
      <c r="I2417">
        <f>169783*(1.01^10)</f>
        <v>187546.05831869057</v>
      </c>
      <c r="J2417" t="s">
        <v>7800</v>
      </c>
      <c r="K2417">
        <f t="shared" si="37"/>
        <v>730.94373843979963</v>
      </c>
    </row>
    <row r="2418" spans="1:11" x14ac:dyDescent="0.2">
      <c r="A2418" t="s">
        <v>356</v>
      </c>
      <c r="B2418" t="s">
        <v>2221</v>
      </c>
      <c r="C2418" t="s">
        <v>7801</v>
      </c>
      <c r="D2418" t="s">
        <v>7802</v>
      </c>
      <c r="E2418" t="s">
        <v>2873</v>
      </c>
      <c r="F2418" t="s">
        <v>5</v>
      </c>
      <c r="G2418" t="s">
        <v>12</v>
      </c>
      <c r="H2418">
        <f>41119*(1.01^10)</f>
        <v>45420.957174783325</v>
      </c>
      <c r="I2418">
        <f>188775*(1.01^10)</f>
        <v>208525.04172450019</v>
      </c>
      <c r="J2418" t="s">
        <v>7803</v>
      </c>
      <c r="K2418">
        <f t="shared" si="37"/>
        <v>858.66824993615035</v>
      </c>
    </row>
    <row r="2419" spans="1:11" x14ac:dyDescent="0.2">
      <c r="A2419" t="s">
        <v>356</v>
      </c>
      <c r="B2419" t="s">
        <v>2221</v>
      </c>
      <c r="C2419" t="s">
        <v>7804</v>
      </c>
      <c r="D2419" t="s">
        <v>7805</v>
      </c>
      <c r="E2419" t="s">
        <v>771</v>
      </c>
      <c r="F2419" t="s">
        <v>17</v>
      </c>
      <c r="G2419" t="s">
        <v>24</v>
      </c>
      <c r="H2419">
        <f>34491*(1.01^10)</f>
        <v>38099.521727557862</v>
      </c>
      <c r="I2419">
        <f>156920*(1.01^10)</f>
        <v>173337.30391952625</v>
      </c>
      <c r="J2419" t="s">
        <v>7806</v>
      </c>
      <c r="K2419">
        <f t="shared" si="37"/>
        <v>658.77862575929828</v>
      </c>
    </row>
    <row r="2420" spans="1:11" x14ac:dyDescent="0.2">
      <c r="A2420" t="s">
        <v>356</v>
      </c>
      <c r="B2420" t="s">
        <v>2221</v>
      </c>
      <c r="C2420" t="s">
        <v>7807</v>
      </c>
      <c r="D2420" t="s">
        <v>7808</v>
      </c>
      <c r="E2420" t="s">
        <v>1282</v>
      </c>
      <c r="F2420" t="s">
        <v>318</v>
      </c>
      <c r="G2420" t="s">
        <v>24</v>
      </c>
      <c r="H2420">
        <f>33793*(1.01^10)</f>
        <v>37328.495484020845</v>
      </c>
      <c r="I2420">
        <f>156822*(1.01^10)</f>
        <v>173229.05095123596</v>
      </c>
      <c r="J2420" t="s">
        <v>7809</v>
      </c>
      <c r="K2420">
        <f t="shared" si="37"/>
        <v>492.91462684879326</v>
      </c>
    </row>
    <row r="2421" spans="1:11" x14ac:dyDescent="0.2">
      <c r="A2421" t="s">
        <v>356</v>
      </c>
      <c r="B2421" t="s">
        <v>2221</v>
      </c>
      <c r="C2421" t="s">
        <v>7810</v>
      </c>
      <c r="D2421" t="s">
        <v>7811</v>
      </c>
      <c r="E2421" t="s">
        <v>1990</v>
      </c>
      <c r="F2421" t="s">
        <v>422</v>
      </c>
      <c r="G2421" t="s">
        <v>24</v>
      </c>
      <c r="H2421">
        <f>53006*(1.01^10)</f>
        <v>58551.600379546318</v>
      </c>
      <c r="I2421">
        <f>252984*(1.01^10)</f>
        <v>279451.72377502819</v>
      </c>
      <c r="J2421" t="s">
        <v>7812</v>
      </c>
      <c r="K2421">
        <f t="shared" si="37"/>
        <v>553.65024681358705</v>
      </c>
    </row>
    <row r="2422" spans="1:11" x14ac:dyDescent="0.2">
      <c r="A2422" t="s">
        <v>356</v>
      </c>
      <c r="B2422" t="s">
        <v>2221</v>
      </c>
      <c r="C2422" t="s">
        <v>7813</v>
      </c>
      <c r="D2422" t="s">
        <v>7814</v>
      </c>
      <c r="E2422" t="s">
        <v>784</v>
      </c>
      <c r="F2422" t="s">
        <v>5</v>
      </c>
      <c r="G2422" t="s">
        <v>24</v>
      </c>
      <c r="H2422">
        <f>31312*(1.01^10)</f>
        <v>34587.927990875643</v>
      </c>
      <c r="I2422">
        <f>147893*(1.01^10)</f>
        <v>163365.8799934393</v>
      </c>
      <c r="J2422" t="s">
        <v>7815</v>
      </c>
      <c r="K2422">
        <f t="shared" si="37"/>
        <v>470.06706867811783</v>
      </c>
    </row>
    <row r="2423" spans="1:11" x14ac:dyDescent="0.2">
      <c r="A2423" t="s">
        <v>356</v>
      </c>
      <c r="B2423" t="s">
        <v>2221</v>
      </c>
      <c r="C2423" t="s">
        <v>7816</v>
      </c>
      <c r="D2423" t="s">
        <v>7817</v>
      </c>
      <c r="E2423" t="s">
        <v>2553</v>
      </c>
      <c r="F2423" t="s">
        <v>108</v>
      </c>
      <c r="G2423" t="s">
        <v>12</v>
      </c>
      <c r="H2423">
        <f>29836*(1.01^10)</f>
        <v>32957.505733768703</v>
      </c>
      <c r="I2423">
        <f>143038*(1.01^10)</f>
        <v>158002.93957456789</v>
      </c>
      <c r="J2423" t="s">
        <v>7818</v>
      </c>
      <c r="K2423">
        <f t="shared" si="37"/>
        <v>504.80227768515618</v>
      </c>
    </row>
    <row r="2424" spans="1:11" x14ac:dyDescent="0.2">
      <c r="A2424" t="s">
        <v>356</v>
      </c>
      <c r="B2424" t="s">
        <v>2221</v>
      </c>
      <c r="C2424" t="s">
        <v>7819</v>
      </c>
      <c r="D2424" t="s">
        <v>7820</v>
      </c>
      <c r="E2424" t="s">
        <v>568</v>
      </c>
      <c r="F2424" t="s">
        <v>6</v>
      </c>
      <c r="G2424" t="s">
        <v>17</v>
      </c>
      <c r="H2424">
        <f>25228*(1.01^10)</f>
        <v>27867.406979873875</v>
      </c>
      <c r="I2424">
        <f>117030*(1.01^10)</f>
        <v>129273.9273368733</v>
      </c>
      <c r="J2424" t="s">
        <v>7821</v>
      </c>
      <c r="K2424">
        <f t="shared" si="37"/>
        <v>553.36590746720572</v>
      </c>
    </row>
    <row r="2425" spans="1:11" x14ac:dyDescent="0.2">
      <c r="A2425" t="s">
        <v>356</v>
      </c>
      <c r="B2425" t="s">
        <v>2221</v>
      </c>
      <c r="C2425" t="s">
        <v>7822</v>
      </c>
      <c r="D2425" t="s">
        <v>7823</v>
      </c>
      <c r="E2425" t="s">
        <v>315</v>
      </c>
      <c r="F2425" t="s">
        <v>92</v>
      </c>
      <c r="G2425" t="s">
        <v>24</v>
      </c>
      <c r="H2425">
        <f>17249*(1.01^10)</f>
        <v>19053.627041217871</v>
      </c>
      <c r="I2425">
        <f>83834*(1.01^10)</f>
        <v>92604.891261722936</v>
      </c>
      <c r="J2425" t="s">
        <v>7824</v>
      </c>
      <c r="K2425">
        <f t="shared" si="37"/>
        <v>479.07787448520241</v>
      </c>
    </row>
    <row r="2426" spans="1:11" x14ac:dyDescent="0.2">
      <c r="A2426" t="s">
        <v>356</v>
      </c>
      <c r="B2426" t="s">
        <v>2221</v>
      </c>
      <c r="C2426" t="s">
        <v>7825</v>
      </c>
      <c r="D2426" t="s">
        <v>7826</v>
      </c>
      <c r="E2426" t="s">
        <v>1115</v>
      </c>
      <c r="F2426" t="s">
        <v>411</v>
      </c>
      <c r="G2426" t="s">
        <v>24</v>
      </c>
      <c r="H2426">
        <f>25953*(1.01^10)</f>
        <v>28668.258020796999</v>
      </c>
      <c r="I2426">
        <f>119089*(1.01^10)</f>
        <v>131548.34429309497</v>
      </c>
      <c r="J2426" t="s">
        <v>7827</v>
      </c>
      <c r="K2426">
        <f t="shared" si="37"/>
        <v>308.27865691094115</v>
      </c>
    </row>
    <row r="2427" spans="1:11" x14ac:dyDescent="0.2">
      <c r="A2427" t="s">
        <v>356</v>
      </c>
      <c r="B2427" t="s">
        <v>2221</v>
      </c>
      <c r="C2427" t="s">
        <v>7828</v>
      </c>
      <c r="D2427" t="s">
        <v>2354</v>
      </c>
      <c r="E2427" t="s">
        <v>157</v>
      </c>
      <c r="F2427" t="s">
        <v>152</v>
      </c>
      <c r="G2427" t="s">
        <v>12</v>
      </c>
      <c r="H2427">
        <f>37141*(1.01^10)</f>
        <v>41026.770359897557</v>
      </c>
      <c r="I2427">
        <f>171377*(1.01^10)</f>
        <v>189306.82598659603</v>
      </c>
      <c r="J2427" t="s">
        <v>7829</v>
      </c>
      <c r="K2427">
        <f t="shared" si="37"/>
        <v>514.43784294643172</v>
      </c>
    </row>
    <row r="2428" spans="1:11" x14ac:dyDescent="0.2">
      <c r="A2428" t="s">
        <v>356</v>
      </c>
      <c r="B2428" t="s">
        <v>2221</v>
      </c>
      <c r="C2428" t="s">
        <v>7830</v>
      </c>
      <c r="D2428" t="s">
        <v>7831</v>
      </c>
      <c r="E2428" t="s">
        <v>1140</v>
      </c>
      <c r="F2428" t="s">
        <v>458</v>
      </c>
      <c r="G2428" t="s">
        <v>24</v>
      </c>
      <c r="H2428">
        <f>22020*(1.01^10)</f>
        <v>24323.779201554727</v>
      </c>
      <c r="I2428">
        <f>106808*(1.01^10)</f>
        <v>117982.47997091996</v>
      </c>
      <c r="J2428" t="s">
        <v>7832</v>
      </c>
      <c r="K2428">
        <f t="shared" si="37"/>
        <v>525.91754532228174</v>
      </c>
    </row>
    <row r="2429" spans="1:11" x14ac:dyDescent="0.2">
      <c r="A2429" t="s">
        <v>356</v>
      </c>
      <c r="B2429" t="s">
        <v>2221</v>
      </c>
      <c r="C2429" t="s">
        <v>6484</v>
      </c>
      <c r="D2429" t="s">
        <v>6485</v>
      </c>
      <c r="E2429" t="s">
        <v>24</v>
      </c>
      <c r="F2429" t="s">
        <v>24</v>
      </c>
      <c r="G2429" t="s">
        <v>11</v>
      </c>
      <c r="H2429">
        <f>51260*(1.01^10)</f>
        <v>56622.930148578358</v>
      </c>
      <c r="I2429">
        <f>234254*(1.01^10)</f>
        <v>258762.15136607634</v>
      </c>
      <c r="J2429" t="s">
        <v>7833</v>
      </c>
      <c r="K2429">
        <f t="shared" si="37"/>
        <v>4379.8603819579612</v>
      </c>
    </row>
    <row r="2430" spans="1:11" x14ac:dyDescent="0.2">
      <c r="A2430" t="s">
        <v>356</v>
      </c>
      <c r="B2430" t="s">
        <v>2290</v>
      </c>
      <c r="C2430" t="s">
        <v>7834</v>
      </c>
      <c r="D2430" t="s">
        <v>2189</v>
      </c>
      <c r="E2430" t="s">
        <v>626</v>
      </c>
      <c r="F2430" t="s">
        <v>11</v>
      </c>
      <c r="G2430" t="s">
        <v>12</v>
      </c>
      <c r="H2430">
        <f>24257*(1.01^10)</f>
        <v>26794.818896099594</v>
      </c>
      <c r="I2430">
        <f>133349*(1.01^10)</f>
        <v>147300.25580145876</v>
      </c>
      <c r="J2430" t="s">
        <v>7835</v>
      </c>
      <c r="K2430">
        <f t="shared" si="37"/>
        <v>740.9312727346105</v>
      </c>
    </row>
    <row r="2431" spans="1:11" x14ac:dyDescent="0.2">
      <c r="A2431" t="s">
        <v>356</v>
      </c>
      <c r="B2431" t="s">
        <v>2290</v>
      </c>
      <c r="C2431" t="s">
        <v>7836</v>
      </c>
      <c r="D2431" t="s">
        <v>7837</v>
      </c>
      <c r="E2431" t="s">
        <v>368</v>
      </c>
      <c r="F2431" t="s">
        <v>458</v>
      </c>
      <c r="G2431" t="s">
        <v>17</v>
      </c>
      <c r="H2431">
        <f>31749*(1.01^10)</f>
        <v>35070.647859680343</v>
      </c>
      <c r="I2431">
        <f>169488*(1.01^10)</f>
        <v>187220.19479169426</v>
      </c>
      <c r="J2431" t="s">
        <v>7838</v>
      </c>
      <c r="K2431">
        <f t="shared" si="37"/>
        <v>648.46567187519167</v>
      </c>
    </row>
    <row r="2432" spans="1:11" x14ac:dyDescent="0.2">
      <c r="A2432" t="s">
        <v>356</v>
      </c>
      <c r="B2432" t="s">
        <v>2290</v>
      </c>
      <c r="C2432" t="s">
        <v>7839</v>
      </c>
      <c r="D2432" t="s">
        <v>7840</v>
      </c>
      <c r="E2432" t="s">
        <v>4</v>
      </c>
      <c r="F2432" t="s">
        <v>318</v>
      </c>
      <c r="G2432" t="s">
        <v>92</v>
      </c>
      <c r="H2432">
        <f>36548*(1.01^10)</f>
        <v>40371.72943952871</v>
      </c>
      <c r="I2432">
        <f>200621*(1.01^10)</f>
        <v>221610.39542212131</v>
      </c>
      <c r="J2432" t="s">
        <v>7841</v>
      </c>
      <c r="K2432">
        <f t="shared" si="37"/>
        <v>941.0748219336283</v>
      </c>
    </row>
    <row r="2433" spans="1:11" x14ac:dyDescent="0.2">
      <c r="A2433" t="s">
        <v>356</v>
      </c>
      <c r="B2433" t="s">
        <v>2290</v>
      </c>
      <c r="C2433" t="s">
        <v>7842</v>
      </c>
      <c r="D2433" t="s">
        <v>7843</v>
      </c>
      <c r="E2433" t="s">
        <v>2395</v>
      </c>
      <c r="F2433" t="s">
        <v>44</v>
      </c>
      <c r="G2433" t="s">
        <v>12</v>
      </c>
      <c r="H2433">
        <f>20847*(1.01^10)</f>
        <v>23028.057448447384</v>
      </c>
      <c r="I2433">
        <f>113790*(1.01^10)</f>
        <v>125694.95165054098</v>
      </c>
      <c r="J2433" t="s">
        <v>7844</v>
      </c>
      <c r="K2433">
        <f t="shared" si="37"/>
        <v>512.31534433028355</v>
      </c>
    </row>
    <row r="2434" spans="1:11" x14ac:dyDescent="0.2">
      <c r="A2434" t="s">
        <v>356</v>
      </c>
      <c r="B2434" t="s">
        <v>2290</v>
      </c>
      <c r="C2434" t="s">
        <v>7845</v>
      </c>
      <c r="D2434" t="s">
        <v>7846</v>
      </c>
      <c r="E2434" t="s">
        <v>1229</v>
      </c>
      <c r="F2434" t="s">
        <v>61</v>
      </c>
      <c r="G2434" t="s">
        <v>12</v>
      </c>
      <c r="H2434">
        <f>22702*(1.01^10)</f>
        <v>25077.131491085169</v>
      </c>
      <c r="I2434">
        <f>117760*(1.01^10)</f>
        <v>130080.30148842347</v>
      </c>
      <c r="J2434" t="s">
        <v>7847</v>
      </c>
      <c r="K2434">
        <f t="shared" si="37"/>
        <v>690.21421582655819</v>
      </c>
    </row>
    <row r="2435" spans="1:11" x14ac:dyDescent="0.2">
      <c r="A2435" t="s">
        <v>356</v>
      </c>
      <c r="B2435" t="s">
        <v>2290</v>
      </c>
      <c r="C2435" t="s">
        <v>7848</v>
      </c>
      <c r="D2435" t="s">
        <v>7849</v>
      </c>
      <c r="E2435" t="s">
        <v>1303</v>
      </c>
      <c r="F2435" t="s">
        <v>458</v>
      </c>
      <c r="G2435" t="s">
        <v>11</v>
      </c>
      <c r="H2435">
        <f>18728*(1.01^10)</f>
        <v>20687.363164701044</v>
      </c>
      <c r="I2435">
        <f>101427*(1.01^10)</f>
        <v>112038.50831408227</v>
      </c>
      <c r="J2435" t="s">
        <v>7850</v>
      </c>
      <c r="K2435">
        <f t="shared" ref="K2435:K2498" si="38">I2435/J2435</f>
        <v>597.31477638143781</v>
      </c>
    </row>
    <row r="2436" spans="1:11" x14ac:dyDescent="0.2">
      <c r="A2436" t="s">
        <v>356</v>
      </c>
      <c r="B2436" t="s">
        <v>2290</v>
      </c>
      <c r="C2436" t="s">
        <v>7851</v>
      </c>
      <c r="D2436" t="s">
        <v>7852</v>
      </c>
      <c r="E2436" t="s">
        <v>287</v>
      </c>
      <c r="F2436" t="s">
        <v>108</v>
      </c>
      <c r="G2436" t="s">
        <v>12</v>
      </c>
      <c r="H2436">
        <f>15116*(1.01^10)</f>
        <v>16697.468047715771</v>
      </c>
      <c r="I2436">
        <f>78515*(1.01^10)</f>
        <v>86729.406176660734</v>
      </c>
      <c r="J2436" t="s">
        <v>7853</v>
      </c>
      <c r="K2436">
        <f t="shared" si="38"/>
        <v>458.3079548656595</v>
      </c>
    </row>
    <row r="2437" spans="1:11" x14ac:dyDescent="0.2">
      <c r="A2437" t="s">
        <v>356</v>
      </c>
      <c r="B2437" t="s">
        <v>2290</v>
      </c>
      <c r="C2437" t="s">
        <v>7854</v>
      </c>
      <c r="D2437" t="s">
        <v>1471</v>
      </c>
      <c r="E2437" t="s">
        <v>284</v>
      </c>
      <c r="F2437" t="s">
        <v>108</v>
      </c>
      <c r="G2437" t="s">
        <v>11</v>
      </c>
      <c r="H2437">
        <f>40630*(1.01^10)</f>
        <v>44880.796955457248</v>
      </c>
      <c r="I2437">
        <f>200083*(1.01^10)</f>
        <v>221016.10871865007</v>
      </c>
      <c r="J2437" t="s">
        <v>7855</v>
      </c>
      <c r="K2437">
        <f t="shared" si="38"/>
        <v>495.35688101896574</v>
      </c>
    </row>
    <row r="2438" spans="1:11" x14ac:dyDescent="0.2">
      <c r="A2438" t="s">
        <v>356</v>
      </c>
      <c r="B2438" t="s">
        <v>2290</v>
      </c>
      <c r="C2438" t="s">
        <v>7856</v>
      </c>
      <c r="D2438" t="s">
        <v>7857</v>
      </c>
      <c r="E2438" t="s">
        <v>1328</v>
      </c>
      <c r="F2438" t="s">
        <v>92</v>
      </c>
      <c r="G2438" t="s">
        <v>24</v>
      </c>
      <c r="H2438">
        <f>28368*(1.01^10)</f>
        <v>31335.920453665058</v>
      </c>
      <c r="I2438">
        <f>143575*(1.01^10)</f>
        <v>158596.12165591371</v>
      </c>
      <c r="J2438" t="s">
        <v>7858</v>
      </c>
      <c r="K2438">
        <f t="shared" si="38"/>
        <v>392.71678684829016</v>
      </c>
    </row>
    <row r="2439" spans="1:11" x14ac:dyDescent="0.2">
      <c r="A2439" t="s">
        <v>356</v>
      </c>
      <c r="B2439" t="s">
        <v>2290</v>
      </c>
      <c r="C2439" t="s">
        <v>7859</v>
      </c>
      <c r="D2439" t="s">
        <v>7860</v>
      </c>
      <c r="E2439" t="s">
        <v>1002</v>
      </c>
      <c r="F2439" t="s">
        <v>744</v>
      </c>
      <c r="G2439" t="s">
        <v>12</v>
      </c>
      <c r="H2439">
        <f>28228*(1.01^10)</f>
        <v>31181.273356107489</v>
      </c>
      <c r="I2439">
        <f>151188*(1.01^10)</f>
        <v>167005.60989666922</v>
      </c>
      <c r="J2439" t="s">
        <v>7861</v>
      </c>
      <c r="K2439">
        <f t="shared" si="38"/>
        <v>557.2791546126457</v>
      </c>
    </row>
    <row r="2440" spans="1:11" x14ac:dyDescent="0.2">
      <c r="A2440" t="s">
        <v>356</v>
      </c>
      <c r="B2440" t="s">
        <v>2290</v>
      </c>
      <c r="C2440" t="s">
        <v>7862</v>
      </c>
      <c r="D2440" t="s">
        <v>7863</v>
      </c>
      <c r="E2440" t="s">
        <v>1223</v>
      </c>
      <c r="F2440" t="s">
        <v>405</v>
      </c>
      <c r="G2440" t="s">
        <v>24</v>
      </c>
      <c r="H2440">
        <f>25262*(1.01^10)</f>
        <v>27904.964132137855</v>
      </c>
      <c r="I2440">
        <f>123855*(1.01^10)</f>
        <v>136812.97334280476</v>
      </c>
      <c r="J2440" t="s">
        <v>7864</v>
      </c>
      <c r="K2440">
        <f t="shared" si="38"/>
        <v>416.83919063556874</v>
      </c>
    </row>
    <row r="2441" spans="1:11" x14ac:dyDescent="0.2">
      <c r="A2441" t="s">
        <v>356</v>
      </c>
      <c r="B2441" t="s">
        <v>2290</v>
      </c>
      <c r="C2441" t="s">
        <v>7865</v>
      </c>
      <c r="D2441" t="s">
        <v>7866</v>
      </c>
      <c r="E2441" t="s">
        <v>36</v>
      </c>
      <c r="F2441" t="s">
        <v>12</v>
      </c>
      <c r="G2441" t="s">
        <v>24</v>
      </c>
      <c r="H2441">
        <f>28868*(1.01^10)</f>
        <v>31888.231516370659</v>
      </c>
      <c r="I2441">
        <f>154736*(1.01^10)</f>
        <v>170924.80919762817</v>
      </c>
      <c r="J2441" t="s">
        <v>7867</v>
      </c>
      <c r="K2441">
        <f t="shared" si="38"/>
        <v>417.36956586815819</v>
      </c>
    </row>
    <row r="2442" spans="1:11" x14ac:dyDescent="0.2">
      <c r="A2442" t="s">
        <v>356</v>
      </c>
      <c r="B2442" t="s">
        <v>2290</v>
      </c>
      <c r="C2442" t="s">
        <v>7868</v>
      </c>
      <c r="D2442" t="s">
        <v>7869</v>
      </c>
      <c r="E2442" t="s">
        <v>386</v>
      </c>
      <c r="F2442" t="s">
        <v>108</v>
      </c>
      <c r="G2442" t="s">
        <v>12</v>
      </c>
      <c r="H2442">
        <f>27709*(1.01^10)</f>
        <v>30607.974473019072</v>
      </c>
      <c r="I2442">
        <f>137143*(1.01^10)</f>
        <v>151491.19214526884</v>
      </c>
      <c r="J2442" t="s">
        <v>7870</v>
      </c>
      <c r="K2442">
        <f t="shared" si="38"/>
        <v>472.465668162253</v>
      </c>
    </row>
    <row r="2443" spans="1:11" x14ac:dyDescent="0.2">
      <c r="A2443" t="s">
        <v>356</v>
      </c>
      <c r="B2443" t="s">
        <v>2290</v>
      </c>
      <c r="C2443" t="s">
        <v>7871</v>
      </c>
      <c r="D2443" t="s">
        <v>7872</v>
      </c>
      <c r="E2443" t="s">
        <v>4</v>
      </c>
      <c r="F2443" t="s">
        <v>108</v>
      </c>
      <c r="G2443" t="s">
        <v>17</v>
      </c>
      <c r="H2443">
        <f>27963*(1.01^10)</f>
        <v>30888.548492873517</v>
      </c>
      <c r="I2443">
        <f>148156*(1.01^10)</f>
        <v>163656.39561242246</v>
      </c>
      <c r="J2443" t="s">
        <v>7873</v>
      </c>
      <c r="K2443">
        <f t="shared" si="38"/>
        <v>616.12377510649139</v>
      </c>
    </row>
    <row r="2444" spans="1:11" x14ac:dyDescent="0.2">
      <c r="A2444" t="s">
        <v>356</v>
      </c>
      <c r="B2444" t="s">
        <v>2290</v>
      </c>
      <c r="C2444" t="s">
        <v>7874</v>
      </c>
      <c r="D2444" t="s">
        <v>7875</v>
      </c>
      <c r="E2444" t="s">
        <v>2777</v>
      </c>
      <c r="F2444" t="s">
        <v>5</v>
      </c>
      <c r="G2444" t="s">
        <v>24</v>
      </c>
      <c r="H2444">
        <f>27508*(1.01^10)</f>
        <v>30385.94542581142</v>
      </c>
      <c r="I2444">
        <f>135579*(1.01^10)</f>
        <v>149763.56314112572</v>
      </c>
      <c r="J2444" t="s">
        <v>7876</v>
      </c>
      <c r="K2444">
        <f t="shared" si="38"/>
        <v>343.74166171663182</v>
      </c>
    </row>
    <row r="2445" spans="1:11" x14ac:dyDescent="0.2">
      <c r="A2445" t="s">
        <v>356</v>
      </c>
      <c r="B2445" t="s">
        <v>2290</v>
      </c>
      <c r="C2445" t="s">
        <v>7877</v>
      </c>
      <c r="D2445" t="s">
        <v>7878</v>
      </c>
      <c r="E2445" t="s">
        <v>1387</v>
      </c>
      <c r="F2445" t="s">
        <v>12</v>
      </c>
      <c r="G2445" t="s">
        <v>12</v>
      </c>
      <c r="H2445">
        <f>26255*(1.01^10)</f>
        <v>29001.853902671181</v>
      </c>
      <c r="I2445">
        <f>137950*(1.01^10)</f>
        <v>152382.62220047569</v>
      </c>
      <c r="J2445" t="s">
        <v>7879</v>
      </c>
      <c r="K2445">
        <f t="shared" si="38"/>
        <v>505.91547072678094</v>
      </c>
    </row>
    <row r="2446" spans="1:11" x14ac:dyDescent="0.2">
      <c r="A2446" t="s">
        <v>356</v>
      </c>
      <c r="B2446" t="s">
        <v>2290</v>
      </c>
      <c r="C2446" t="s">
        <v>7880</v>
      </c>
      <c r="D2446" t="s">
        <v>7881</v>
      </c>
      <c r="E2446" t="s">
        <v>740</v>
      </c>
      <c r="F2446" t="s">
        <v>458</v>
      </c>
      <c r="G2446" t="s">
        <v>12</v>
      </c>
      <c r="H2446">
        <f>32467*(1.01^10)</f>
        <v>35863.766545725586</v>
      </c>
      <c r="I2446">
        <f>170564*(1.01^10)</f>
        <v>188408.76819863674</v>
      </c>
      <c r="J2446" t="s">
        <v>7882</v>
      </c>
      <c r="K2446">
        <f t="shared" si="38"/>
        <v>416.7740482137354</v>
      </c>
    </row>
    <row r="2447" spans="1:11" x14ac:dyDescent="0.2">
      <c r="A2447" t="s">
        <v>356</v>
      </c>
      <c r="B2447" t="s">
        <v>2290</v>
      </c>
      <c r="C2447" t="s">
        <v>7883</v>
      </c>
      <c r="D2447" t="s">
        <v>7884</v>
      </c>
      <c r="E2447" t="s">
        <v>848</v>
      </c>
      <c r="F2447" t="s">
        <v>726</v>
      </c>
      <c r="G2447" t="s">
        <v>12</v>
      </c>
      <c r="H2447">
        <f>31939*(1.01^10)</f>
        <v>35280.526063508471</v>
      </c>
      <c r="I2447">
        <f>154071*(1.01^10)</f>
        <v>170190.23548422972</v>
      </c>
      <c r="J2447" t="s">
        <v>7885</v>
      </c>
      <c r="K2447">
        <f t="shared" si="38"/>
        <v>450.26333159509363</v>
      </c>
    </row>
    <row r="2448" spans="1:11" x14ac:dyDescent="0.2">
      <c r="A2448" t="s">
        <v>356</v>
      </c>
      <c r="B2448" t="s">
        <v>2290</v>
      </c>
      <c r="C2448" t="s">
        <v>7886</v>
      </c>
      <c r="D2448" t="s">
        <v>7887</v>
      </c>
      <c r="E2448" t="s">
        <v>1912</v>
      </c>
      <c r="F2448" t="s">
        <v>382</v>
      </c>
      <c r="G2448" t="s">
        <v>24</v>
      </c>
      <c r="H2448">
        <f>20133*(1.01^10)</f>
        <v>22239.357250903784</v>
      </c>
      <c r="I2448">
        <f>97164*(1.01^10)</f>
        <v>107329.5041934543</v>
      </c>
      <c r="J2448" t="s">
        <v>7888</v>
      </c>
      <c r="K2448">
        <f t="shared" si="38"/>
        <v>384.74882014089224</v>
      </c>
    </row>
    <row r="2449" spans="1:11" x14ac:dyDescent="0.2">
      <c r="A2449" t="s">
        <v>356</v>
      </c>
      <c r="B2449" t="s">
        <v>2290</v>
      </c>
      <c r="C2449" t="s">
        <v>7889</v>
      </c>
      <c r="D2449" t="s">
        <v>7890</v>
      </c>
      <c r="E2449" t="s">
        <v>386</v>
      </c>
      <c r="F2449" t="s">
        <v>11</v>
      </c>
      <c r="G2449" t="s">
        <v>12</v>
      </c>
      <c r="H2449">
        <f>20325*(1.01^10)</f>
        <v>22451.444698982737</v>
      </c>
      <c r="I2449">
        <f>94929*(1.01^10)</f>
        <v>104860.67374316025</v>
      </c>
      <c r="J2449" t="s">
        <v>7891</v>
      </c>
      <c r="K2449">
        <f t="shared" si="38"/>
        <v>279.64317350393389</v>
      </c>
    </row>
    <row r="2450" spans="1:11" x14ac:dyDescent="0.2">
      <c r="A2450" t="s">
        <v>356</v>
      </c>
      <c r="B2450" t="s">
        <v>2290</v>
      </c>
      <c r="C2450" t="s">
        <v>6484</v>
      </c>
      <c r="D2450" t="s">
        <v>6485</v>
      </c>
      <c r="E2450" t="s">
        <v>24</v>
      </c>
      <c r="F2450" t="s">
        <v>24</v>
      </c>
      <c r="G2450" t="s">
        <v>11</v>
      </c>
      <c r="H2450">
        <f>32222*(1.01^10)</f>
        <v>35593.134124999837</v>
      </c>
      <c r="I2450">
        <f>166172*(1.01^10)</f>
        <v>183557.26782383071</v>
      </c>
      <c r="J2450" t="s">
        <v>7892</v>
      </c>
      <c r="K2450">
        <f t="shared" si="38"/>
        <v>5959.6515527217762</v>
      </c>
    </row>
    <row r="2451" spans="1:11" x14ac:dyDescent="0.2">
      <c r="A2451" t="s">
        <v>356</v>
      </c>
      <c r="B2451" t="s">
        <v>330</v>
      </c>
      <c r="C2451" t="s">
        <v>7893</v>
      </c>
      <c r="D2451" t="s">
        <v>7894</v>
      </c>
      <c r="E2451" t="s">
        <v>1589</v>
      </c>
      <c r="F2451" t="s">
        <v>24</v>
      </c>
      <c r="G2451" t="s">
        <v>24</v>
      </c>
      <c r="H2451">
        <f>43586*(1.01^10)</f>
        <v>48146.059958172773</v>
      </c>
      <c r="I2451">
        <f>190186*(1.01^10)</f>
        <v>210083.66354345539</v>
      </c>
      <c r="J2451" t="s">
        <v>7895</v>
      </c>
      <c r="K2451">
        <f t="shared" si="38"/>
        <v>1827.1759902675612</v>
      </c>
    </row>
    <row r="2452" spans="1:11" x14ac:dyDescent="0.2">
      <c r="A2452" t="s">
        <v>356</v>
      </c>
      <c r="B2452" t="s">
        <v>330</v>
      </c>
      <c r="C2452" t="s">
        <v>7896</v>
      </c>
      <c r="D2452" t="s">
        <v>7897</v>
      </c>
      <c r="E2452" t="s">
        <v>137</v>
      </c>
      <c r="F2452" t="s">
        <v>12</v>
      </c>
      <c r="G2452" t="s">
        <v>11</v>
      </c>
      <c r="H2452">
        <f>45400*(1.01^10)</f>
        <v>50149.844493668694</v>
      </c>
      <c r="I2452">
        <f>208132*(1.01^10)</f>
        <v>229907.21220608486</v>
      </c>
      <c r="J2452" t="s">
        <v>7898</v>
      </c>
      <c r="K2452">
        <f t="shared" si="38"/>
        <v>1579.289901560227</v>
      </c>
    </row>
    <row r="2453" spans="1:11" x14ac:dyDescent="0.2">
      <c r="A2453" t="s">
        <v>356</v>
      </c>
      <c r="B2453" t="s">
        <v>330</v>
      </c>
      <c r="C2453" t="s">
        <v>7899</v>
      </c>
      <c r="D2453" t="s">
        <v>7900</v>
      </c>
      <c r="E2453" t="s">
        <v>777</v>
      </c>
      <c r="F2453" t="s">
        <v>12</v>
      </c>
      <c r="G2453" t="s">
        <v>6</v>
      </c>
      <c r="H2453">
        <f>48898*(1.01^10)</f>
        <v>54013.812688357088</v>
      </c>
      <c r="I2453">
        <f>223218*(1.01^10)</f>
        <v>246571.54159003831</v>
      </c>
      <c r="J2453" t="s">
        <v>7901</v>
      </c>
      <c r="K2453">
        <f t="shared" si="38"/>
        <v>1982.4144377291129</v>
      </c>
    </row>
    <row r="2454" spans="1:11" x14ac:dyDescent="0.2">
      <c r="A2454" t="s">
        <v>356</v>
      </c>
      <c r="B2454" t="s">
        <v>330</v>
      </c>
      <c r="C2454" t="s">
        <v>7902</v>
      </c>
      <c r="D2454" t="s">
        <v>7903</v>
      </c>
      <c r="E2454" t="s">
        <v>232</v>
      </c>
      <c r="F2454" t="s">
        <v>12</v>
      </c>
      <c r="G2454" t="s">
        <v>405</v>
      </c>
      <c r="H2454">
        <f>54144*(1.01^10)</f>
        <v>59808.660358264271</v>
      </c>
      <c r="I2454">
        <f>257941*(1.01^10)</f>
        <v>284927.33565069159</v>
      </c>
      <c r="J2454" t="s">
        <v>7904</v>
      </c>
      <c r="K2454">
        <f t="shared" si="38"/>
        <v>2130.4140981023406</v>
      </c>
    </row>
    <row r="2455" spans="1:11" x14ac:dyDescent="0.2">
      <c r="A2455" t="s">
        <v>356</v>
      </c>
      <c r="B2455" t="s">
        <v>330</v>
      </c>
      <c r="C2455" t="s">
        <v>7905</v>
      </c>
      <c r="D2455" t="s">
        <v>7906</v>
      </c>
      <c r="E2455" t="s">
        <v>374</v>
      </c>
      <c r="F2455" t="s">
        <v>12</v>
      </c>
      <c r="G2455" t="s">
        <v>61</v>
      </c>
      <c r="H2455">
        <f>82108*(1.01^10)</f>
        <v>90698.313473263202</v>
      </c>
      <c r="I2455">
        <f>377588*(1.01^10)</f>
        <v>417092.059089766</v>
      </c>
      <c r="J2455" t="s">
        <v>7907</v>
      </c>
      <c r="K2455">
        <f t="shared" si="38"/>
        <v>4146.1596913710882</v>
      </c>
    </row>
    <row r="2456" spans="1:11" x14ac:dyDescent="0.2">
      <c r="A2456" t="s">
        <v>356</v>
      </c>
      <c r="B2456" t="s">
        <v>330</v>
      </c>
      <c r="C2456" t="s">
        <v>7908</v>
      </c>
      <c r="D2456" t="s">
        <v>7909</v>
      </c>
      <c r="E2456" t="s">
        <v>17</v>
      </c>
      <c r="F2456" t="s">
        <v>24</v>
      </c>
      <c r="G2456" t="s">
        <v>6</v>
      </c>
      <c r="H2456">
        <f>51077*(1.01^10)</f>
        <v>56420.784299628103</v>
      </c>
      <c r="I2456">
        <f>209504*(1.01^10)</f>
        <v>231422.75376214905</v>
      </c>
      <c r="J2456" t="s">
        <v>7910</v>
      </c>
      <c r="K2456">
        <f t="shared" si="38"/>
        <v>7482.163864892409</v>
      </c>
    </row>
    <row r="2457" spans="1:11" x14ac:dyDescent="0.2">
      <c r="A2457" t="s">
        <v>356</v>
      </c>
      <c r="B2457" t="s">
        <v>330</v>
      </c>
      <c r="C2457" t="s">
        <v>7911</v>
      </c>
      <c r="D2457" t="s">
        <v>7912</v>
      </c>
      <c r="E2457" t="s">
        <v>318</v>
      </c>
      <c r="F2457" t="s">
        <v>24</v>
      </c>
      <c r="G2457" t="s">
        <v>61</v>
      </c>
      <c r="H2457">
        <f>74342*(1.01^10)</f>
        <v>82119.818047319786</v>
      </c>
      <c r="I2457">
        <f>330828*(1.01^10)</f>
        <v>365439.92850553803</v>
      </c>
      <c r="J2457" t="s">
        <v>7913</v>
      </c>
      <c r="K2457">
        <f t="shared" si="38"/>
        <v>5787.5963029881696</v>
      </c>
    </row>
    <row r="2458" spans="1:11" x14ac:dyDescent="0.2">
      <c r="A2458" t="s">
        <v>356</v>
      </c>
      <c r="B2458" t="s">
        <v>330</v>
      </c>
      <c r="C2458" t="s">
        <v>7914</v>
      </c>
      <c r="D2458" t="s">
        <v>7915</v>
      </c>
      <c r="E2458" t="s">
        <v>458</v>
      </c>
      <c r="F2458" t="s">
        <v>24</v>
      </c>
      <c r="G2458" t="s">
        <v>422</v>
      </c>
      <c r="H2458">
        <f>50585*(1.01^10)</f>
        <v>55877.31021392579</v>
      </c>
      <c r="I2458">
        <f>251930*(1.01^10)</f>
        <v>278287.45205484482</v>
      </c>
      <c r="J2458" t="s">
        <v>7916</v>
      </c>
      <c r="K2458">
        <f t="shared" si="38"/>
        <v>3775.1117429084925</v>
      </c>
    </row>
    <row r="2459" spans="1:11" x14ac:dyDescent="0.2">
      <c r="A2459" t="s">
        <v>356</v>
      </c>
      <c r="B2459" t="s">
        <v>330</v>
      </c>
      <c r="C2459" t="s">
        <v>7917</v>
      </c>
      <c r="D2459" t="s">
        <v>7918</v>
      </c>
      <c r="E2459" t="s">
        <v>61</v>
      </c>
      <c r="F2459" t="s">
        <v>24</v>
      </c>
      <c r="G2459" t="s">
        <v>458</v>
      </c>
      <c r="H2459">
        <f>39509*(1.01^10)</f>
        <v>43642.515552871286</v>
      </c>
      <c r="I2459">
        <f>191599*(1.01^10)</f>
        <v>211644.49460666141</v>
      </c>
      <c r="J2459" t="s">
        <v>7919</v>
      </c>
      <c r="K2459">
        <f t="shared" si="38"/>
        <v>1942.8370307556402</v>
      </c>
    </row>
    <row r="2460" spans="1:11" x14ac:dyDescent="0.2">
      <c r="A2460" t="s">
        <v>356</v>
      </c>
      <c r="B2460" t="s">
        <v>330</v>
      </c>
      <c r="C2460" t="s">
        <v>7920</v>
      </c>
      <c r="D2460" t="s">
        <v>7921</v>
      </c>
      <c r="E2460" t="s">
        <v>232</v>
      </c>
      <c r="F2460" t="s">
        <v>24</v>
      </c>
      <c r="G2460" t="s">
        <v>92</v>
      </c>
      <c r="H2460">
        <f>45335*(1.01^10)</f>
        <v>50078.04405551697</v>
      </c>
      <c r="I2460">
        <f>215392*(1.01^10)</f>
        <v>237926.76883657021</v>
      </c>
      <c r="J2460" t="s">
        <v>7922</v>
      </c>
      <c r="K2460">
        <f t="shared" si="38"/>
        <v>3392.0568490111209</v>
      </c>
    </row>
    <row r="2461" spans="1:11" x14ac:dyDescent="0.2">
      <c r="A2461" t="s">
        <v>356</v>
      </c>
      <c r="B2461" t="s">
        <v>330</v>
      </c>
      <c r="C2461" t="s">
        <v>7923</v>
      </c>
      <c r="D2461" t="s">
        <v>7924</v>
      </c>
      <c r="E2461" t="s">
        <v>829</v>
      </c>
      <c r="F2461" t="s">
        <v>12</v>
      </c>
      <c r="G2461" t="s">
        <v>405</v>
      </c>
      <c r="H2461">
        <f>48369*(1.01^10)</f>
        <v>53429.467584014565</v>
      </c>
      <c r="I2461">
        <f>221500*(1.01^10)</f>
        <v>244673.80077858185</v>
      </c>
      <c r="J2461" t="s">
        <v>7925</v>
      </c>
      <c r="K2461">
        <f t="shared" si="38"/>
        <v>2939.97312908</v>
      </c>
    </row>
    <row r="2462" spans="1:11" x14ac:dyDescent="0.2">
      <c r="A2462" t="s">
        <v>356</v>
      </c>
      <c r="B2462" t="s">
        <v>330</v>
      </c>
      <c r="C2462" t="s">
        <v>7926</v>
      </c>
      <c r="D2462" t="s">
        <v>7927</v>
      </c>
      <c r="E2462" t="s">
        <v>185</v>
      </c>
      <c r="F2462" t="s">
        <v>12</v>
      </c>
      <c r="G2462" t="s">
        <v>6</v>
      </c>
      <c r="H2462">
        <f>35690*(1.01^10)</f>
        <v>39423.963655925894</v>
      </c>
      <c r="I2462">
        <f>164405*(1.01^10)</f>
        <v>181605.4005282291</v>
      </c>
      <c r="J2462" t="s">
        <v>7928</v>
      </c>
      <c r="K2462">
        <f t="shared" si="38"/>
        <v>1958.5030048835838</v>
      </c>
    </row>
    <row r="2463" spans="1:11" x14ac:dyDescent="0.2">
      <c r="A2463" t="s">
        <v>356</v>
      </c>
      <c r="B2463" t="s">
        <v>330</v>
      </c>
      <c r="C2463" t="s">
        <v>7929</v>
      </c>
      <c r="D2463" t="s">
        <v>7930</v>
      </c>
      <c r="E2463" t="s">
        <v>1545</v>
      </c>
      <c r="F2463" t="s">
        <v>24</v>
      </c>
      <c r="G2463" t="s">
        <v>5</v>
      </c>
      <c r="H2463">
        <f>47992*(1.01^10)</f>
        <v>53013.025042734538</v>
      </c>
      <c r="I2463">
        <f>205849*(1.01^10)</f>
        <v>227385.35989377109</v>
      </c>
      <c r="J2463" t="s">
        <v>7931</v>
      </c>
      <c r="K2463">
        <f t="shared" si="38"/>
        <v>1774.0963629529595</v>
      </c>
    </row>
    <row r="2464" spans="1:11" x14ac:dyDescent="0.2">
      <c r="A2464" t="s">
        <v>356</v>
      </c>
      <c r="B2464" t="s">
        <v>330</v>
      </c>
      <c r="C2464" t="s">
        <v>7932</v>
      </c>
      <c r="D2464" t="s">
        <v>7933</v>
      </c>
      <c r="E2464" t="s">
        <v>1106</v>
      </c>
      <c r="F2464" t="s">
        <v>24</v>
      </c>
      <c r="G2464" t="s">
        <v>11</v>
      </c>
      <c r="H2464">
        <f>43934*(1.01^10)</f>
        <v>48530.46845781587</v>
      </c>
      <c r="I2464">
        <f>196164*(1.01^10)</f>
        <v>216687.09460916356</v>
      </c>
      <c r="J2464" t="s">
        <v>7934</v>
      </c>
      <c r="K2464">
        <f t="shared" si="38"/>
        <v>2179.4825416088906</v>
      </c>
    </row>
    <row r="2465" spans="1:11" x14ac:dyDescent="0.2">
      <c r="A2465" t="s">
        <v>356</v>
      </c>
      <c r="B2465" t="s">
        <v>330</v>
      </c>
      <c r="C2465" t="s">
        <v>6484</v>
      </c>
      <c r="D2465" t="s">
        <v>6485</v>
      </c>
      <c r="E2465" t="s">
        <v>24</v>
      </c>
      <c r="F2465" t="s">
        <v>24</v>
      </c>
      <c r="G2465" t="s">
        <v>11</v>
      </c>
      <c r="H2465">
        <f>350367*(1.01^10)</f>
        <v>387023.14021394757</v>
      </c>
      <c r="I2465">
        <f>1605793*(1.01^10)</f>
        <v>1773794.4766304346</v>
      </c>
      <c r="J2465" t="s">
        <v>7935</v>
      </c>
      <c r="K2465">
        <f t="shared" si="38"/>
        <v>18226.412624644829</v>
      </c>
    </row>
    <row r="2466" spans="1:11" x14ac:dyDescent="0.2">
      <c r="A2466" t="s">
        <v>356</v>
      </c>
      <c r="B2466" t="s">
        <v>2003</v>
      </c>
      <c r="C2466" s="7" t="s">
        <v>18245</v>
      </c>
      <c r="D2466" t="s">
        <v>6485</v>
      </c>
      <c r="E2466" t="s">
        <v>24</v>
      </c>
      <c r="F2466" t="s">
        <v>24</v>
      </c>
      <c r="G2466" t="s">
        <v>12</v>
      </c>
      <c r="H2466">
        <f>1024928*(1.01^10)</f>
        <v>1132158.1457534553</v>
      </c>
      <c r="I2466">
        <f>4496694*(1.01^10)</f>
        <v>4967147.683603812</v>
      </c>
      <c r="J2466" t="s">
        <v>128</v>
      </c>
      <c r="K2466">
        <f t="shared" si="38"/>
        <v>26849.446938398985</v>
      </c>
    </row>
    <row r="2467" spans="1:11" x14ac:dyDescent="0.2">
      <c r="A2467" t="s">
        <v>356</v>
      </c>
      <c r="B2467" t="s">
        <v>7936</v>
      </c>
      <c r="C2467" t="s">
        <v>7937</v>
      </c>
      <c r="D2467" t="s">
        <v>7938</v>
      </c>
      <c r="E2467" t="s">
        <v>97</v>
      </c>
      <c r="F2467" t="s">
        <v>24</v>
      </c>
      <c r="G2467" t="s">
        <v>744</v>
      </c>
      <c r="H2467">
        <f>41956*(1.01^10)</f>
        <v>46345.525893752507</v>
      </c>
      <c r="I2467">
        <f>176203*(1.01^10)</f>
        <v>194637.73236383052</v>
      </c>
      <c r="J2467" t="s">
        <v>7939</v>
      </c>
      <c r="K2467">
        <f t="shared" si="38"/>
        <v>3109.2101372609286</v>
      </c>
    </row>
    <row r="2468" spans="1:11" x14ac:dyDescent="0.2">
      <c r="A2468" t="s">
        <v>356</v>
      </c>
      <c r="B2468" t="s">
        <v>7936</v>
      </c>
      <c r="C2468" t="s">
        <v>7940</v>
      </c>
      <c r="D2468" t="s">
        <v>7941</v>
      </c>
      <c r="E2468" t="s">
        <v>458</v>
      </c>
      <c r="F2468" t="s">
        <v>24</v>
      </c>
      <c r="G2468" t="s">
        <v>6</v>
      </c>
      <c r="H2468">
        <f>26333*(1.01^10)</f>
        <v>29088.014428453254</v>
      </c>
      <c r="I2468">
        <f>112908*(1.01^10)</f>
        <v>124720.6749359283</v>
      </c>
      <c r="J2468" t="s">
        <v>7942</v>
      </c>
      <c r="K2468">
        <f t="shared" si="38"/>
        <v>2536.2150833662026</v>
      </c>
    </row>
    <row r="2469" spans="1:11" x14ac:dyDescent="0.2">
      <c r="A2469" t="s">
        <v>356</v>
      </c>
      <c r="B2469" t="s">
        <v>7936</v>
      </c>
      <c r="C2469" t="s">
        <v>7943</v>
      </c>
      <c r="D2469" t="s">
        <v>7944</v>
      </c>
      <c r="E2469" t="s">
        <v>264</v>
      </c>
      <c r="F2469" t="s">
        <v>24</v>
      </c>
      <c r="G2469" t="s">
        <v>92</v>
      </c>
      <c r="H2469">
        <f>44959*(1.01^10)</f>
        <v>49662.706136362351</v>
      </c>
      <c r="I2469">
        <f>192134*(1.01^10)</f>
        <v>212235.46744375641</v>
      </c>
      <c r="J2469" t="s">
        <v>7945</v>
      </c>
      <c r="K2469">
        <f t="shared" si="38"/>
        <v>1448.3502510426872</v>
      </c>
    </row>
    <row r="2470" spans="1:11" x14ac:dyDescent="0.2">
      <c r="A2470" t="s">
        <v>356</v>
      </c>
      <c r="B2470" t="s">
        <v>7936</v>
      </c>
      <c r="C2470" t="s">
        <v>7946</v>
      </c>
      <c r="D2470" t="s">
        <v>7947</v>
      </c>
      <c r="E2470" t="s">
        <v>498</v>
      </c>
      <c r="F2470" t="s">
        <v>12</v>
      </c>
      <c r="G2470" t="s">
        <v>5</v>
      </c>
      <c r="H2470">
        <f>52227*(1.01^10)</f>
        <v>57691.099743850988</v>
      </c>
      <c r="I2470">
        <f>232365*(1.01^10)</f>
        <v>256675.5201711746</v>
      </c>
      <c r="J2470" t="s">
        <v>7948</v>
      </c>
      <c r="K2470">
        <f t="shared" si="38"/>
        <v>2082.0253905248373</v>
      </c>
    </row>
    <row r="2471" spans="1:11" x14ac:dyDescent="0.2">
      <c r="A2471" t="s">
        <v>356</v>
      </c>
      <c r="B2471" t="s">
        <v>7936</v>
      </c>
      <c r="C2471" t="s">
        <v>7949</v>
      </c>
      <c r="D2471" t="s">
        <v>7950</v>
      </c>
      <c r="E2471" t="s">
        <v>126</v>
      </c>
      <c r="F2471" t="s">
        <v>12</v>
      </c>
      <c r="G2471" t="s">
        <v>108</v>
      </c>
      <c r="H2471">
        <f>49148*(1.01^10)</f>
        <v>54289.968219709888</v>
      </c>
      <c r="I2471">
        <f>214531*(1.01^10)</f>
        <v>236975.68918659116</v>
      </c>
      <c r="J2471" t="s">
        <v>7951</v>
      </c>
      <c r="K2471">
        <f t="shared" si="38"/>
        <v>2177.7691920717803</v>
      </c>
    </row>
    <row r="2472" spans="1:11" x14ac:dyDescent="0.2">
      <c r="A2472" t="s">
        <v>356</v>
      </c>
      <c r="B2472" t="s">
        <v>7936</v>
      </c>
      <c r="C2472" t="s">
        <v>7952</v>
      </c>
      <c r="D2472" t="s">
        <v>7953</v>
      </c>
      <c r="E2472" t="s">
        <v>137</v>
      </c>
      <c r="F2472" t="s">
        <v>24</v>
      </c>
      <c r="G2472" t="s">
        <v>6</v>
      </c>
      <c r="H2472">
        <f>51502*(1.01^10)</f>
        <v>56890.248702927864</v>
      </c>
      <c r="I2472">
        <f>219863*(1.01^10)</f>
        <v>242865.53435928372</v>
      </c>
      <c r="J2472" t="s">
        <v>7954</v>
      </c>
      <c r="K2472">
        <f t="shared" si="38"/>
        <v>1738.6658832841019</v>
      </c>
    </row>
    <row r="2473" spans="1:11" x14ac:dyDescent="0.2">
      <c r="A2473" t="s">
        <v>356</v>
      </c>
      <c r="B2473" t="s">
        <v>7936</v>
      </c>
      <c r="C2473" t="s">
        <v>7955</v>
      </c>
      <c r="D2473" t="s">
        <v>7956</v>
      </c>
      <c r="E2473" t="s">
        <v>410</v>
      </c>
      <c r="F2473" t="s">
        <v>12</v>
      </c>
      <c r="G2473" t="s">
        <v>11</v>
      </c>
      <c r="H2473">
        <f>51711*(1.01^10)</f>
        <v>57121.114727138811</v>
      </c>
      <c r="I2473">
        <f>249170*(1.01^10)</f>
        <v>275238.69498870987</v>
      </c>
      <c r="J2473" t="s">
        <v>7957</v>
      </c>
      <c r="K2473">
        <f t="shared" si="38"/>
        <v>1174.5838661422167</v>
      </c>
    </row>
    <row r="2474" spans="1:11" x14ac:dyDescent="0.2">
      <c r="A2474" t="s">
        <v>356</v>
      </c>
      <c r="B2474" t="s">
        <v>7936</v>
      </c>
      <c r="C2474" t="s">
        <v>7958</v>
      </c>
      <c r="D2474" t="s">
        <v>7959</v>
      </c>
      <c r="E2474" t="s">
        <v>51</v>
      </c>
      <c r="F2474" t="s">
        <v>24</v>
      </c>
      <c r="G2474" t="s">
        <v>24</v>
      </c>
      <c r="H2474">
        <f>50209*(1.01^10)</f>
        <v>55461.972294771178</v>
      </c>
      <c r="I2474">
        <f>246708*(1.01^10)</f>
        <v>272519.11531594751</v>
      </c>
      <c r="J2474" t="s">
        <v>7960</v>
      </c>
      <c r="K2474">
        <f t="shared" si="38"/>
        <v>1232.7066903130451</v>
      </c>
    </row>
    <row r="2475" spans="1:11" x14ac:dyDescent="0.2">
      <c r="A2475" t="s">
        <v>356</v>
      </c>
      <c r="B2475" t="s">
        <v>7936</v>
      </c>
      <c r="C2475" t="s">
        <v>7961</v>
      </c>
      <c r="D2475" t="s">
        <v>7962</v>
      </c>
      <c r="E2475" t="s">
        <v>619</v>
      </c>
      <c r="F2475" t="s">
        <v>24</v>
      </c>
      <c r="G2475" t="s">
        <v>152</v>
      </c>
      <c r="H2475">
        <f>64041*(1.01^10)</f>
        <v>70741.105533458962</v>
      </c>
      <c r="I2475">
        <f>304724*(1.01^10)</f>
        <v>336604.87254380394</v>
      </c>
      <c r="J2475" t="s">
        <v>7963</v>
      </c>
      <c r="K2475">
        <f t="shared" si="38"/>
        <v>1576.2734641600707</v>
      </c>
    </row>
    <row r="2476" spans="1:11" x14ac:dyDescent="0.2">
      <c r="A2476" t="s">
        <v>356</v>
      </c>
      <c r="B2476" t="s">
        <v>7936</v>
      </c>
      <c r="C2476" t="s">
        <v>7964</v>
      </c>
      <c r="D2476" t="s">
        <v>7965</v>
      </c>
      <c r="E2476" t="s">
        <v>264</v>
      </c>
      <c r="F2476" t="s">
        <v>24</v>
      </c>
      <c r="G2476" t="s">
        <v>12</v>
      </c>
      <c r="H2476">
        <f>49711*(1.01^10)</f>
        <v>54911.870476316399</v>
      </c>
      <c r="I2476">
        <f>252523*(1.01^10)</f>
        <v>278942.49297521368</v>
      </c>
      <c r="J2476" t="s">
        <v>7966</v>
      </c>
      <c r="K2476">
        <f t="shared" si="38"/>
        <v>794.0014290580782</v>
      </c>
    </row>
    <row r="2477" spans="1:11" x14ac:dyDescent="0.2">
      <c r="A2477" t="s">
        <v>356</v>
      </c>
      <c r="B2477" t="s">
        <v>7936</v>
      </c>
      <c r="C2477" t="s">
        <v>7967</v>
      </c>
      <c r="D2477" t="s">
        <v>7968</v>
      </c>
      <c r="E2477" t="s">
        <v>479</v>
      </c>
      <c r="F2477" t="s">
        <v>5</v>
      </c>
      <c r="G2477" t="s">
        <v>382</v>
      </c>
      <c r="H2477">
        <f>97855*(1.01^10)</f>
        <v>108092.79808211344</v>
      </c>
      <c r="I2477">
        <f>433119*(1.01^10)</f>
        <v>478432.83033597557</v>
      </c>
      <c r="J2477" t="s">
        <v>7969</v>
      </c>
      <c r="K2477">
        <f t="shared" si="38"/>
        <v>2122.6286494309256</v>
      </c>
    </row>
    <row r="2478" spans="1:11" x14ac:dyDescent="0.2">
      <c r="A2478" t="s">
        <v>356</v>
      </c>
      <c r="B2478" t="s">
        <v>7936</v>
      </c>
      <c r="C2478" t="s">
        <v>7970</v>
      </c>
      <c r="D2478" t="s">
        <v>7971</v>
      </c>
      <c r="E2478" t="s">
        <v>394</v>
      </c>
      <c r="F2478" t="s">
        <v>24</v>
      </c>
      <c r="G2478" t="s">
        <v>152</v>
      </c>
      <c r="H2478">
        <f>63847*(1.01^10)</f>
        <v>70526.808841129183</v>
      </c>
      <c r="I2478">
        <f>304744*(1.01^10)</f>
        <v>336626.9649863122</v>
      </c>
      <c r="J2478" t="s">
        <v>7972</v>
      </c>
      <c r="K2478">
        <f t="shared" si="38"/>
        <v>2388.2074680103105</v>
      </c>
    </row>
    <row r="2479" spans="1:11" x14ac:dyDescent="0.2">
      <c r="A2479" t="s">
        <v>356</v>
      </c>
      <c r="B2479" t="s">
        <v>7936</v>
      </c>
      <c r="C2479" t="s">
        <v>7973</v>
      </c>
      <c r="D2479" t="s">
        <v>7974</v>
      </c>
      <c r="E2479" t="s">
        <v>394</v>
      </c>
      <c r="F2479" t="s">
        <v>11</v>
      </c>
      <c r="G2479" t="s">
        <v>744</v>
      </c>
      <c r="H2479">
        <f>55002*(1.01^10)</f>
        <v>60756.426141867087</v>
      </c>
      <c r="I2479">
        <f>269494*(1.01^10)</f>
        <v>297689.03506556724</v>
      </c>
      <c r="J2479" t="s">
        <v>7975</v>
      </c>
      <c r="K2479">
        <f t="shared" si="38"/>
        <v>2388.3494018188367</v>
      </c>
    </row>
    <row r="2480" spans="1:11" x14ac:dyDescent="0.2">
      <c r="A2480" t="s">
        <v>356</v>
      </c>
      <c r="B2480" t="s">
        <v>7936</v>
      </c>
      <c r="C2480" t="s">
        <v>7976</v>
      </c>
      <c r="D2480" t="s">
        <v>7977</v>
      </c>
      <c r="E2480" t="s">
        <v>761</v>
      </c>
      <c r="F2480" t="s">
        <v>24</v>
      </c>
      <c r="G2480" t="s">
        <v>5</v>
      </c>
      <c r="H2480">
        <f>57153*(1.01^10)</f>
        <v>63132.468333626588</v>
      </c>
      <c r="I2480">
        <f>249561*(1.01^10)</f>
        <v>275670.60223974567</v>
      </c>
      <c r="J2480" t="s">
        <v>7978</v>
      </c>
      <c r="K2480">
        <f t="shared" si="38"/>
        <v>1371.0223395209214</v>
      </c>
    </row>
    <row r="2481" spans="1:11" x14ac:dyDescent="0.2">
      <c r="A2481" t="s">
        <v>356</v>
      </c>
      <c r="B2481" t="s">
        <v>7936</v>
      </c>
      <c r="C2481" t="s">
        <v>7979</v>
      </c>
      <c r="D2481" t="s">
        <v>7980</v>
      </c>
      <c r="E2481" t="s">
        <v>998</v>
      </c>
      <c r="F2481" t="s">
        <v>12</v>
      </c>
      <c r="G2481" t="s">
        <v>5</v>
      </c>
      <c r="H2481">
        <f>33206*(1.01^10)</f>
        <v>36680.082296404464</v>
      </c>
      <c r="I2481">
        <f>156166*(1.01^10)</f>
        <v>172504.41883696619</v>
      </c>
      <c r="J2481" t="s">
        <v>7981</v>
      </c>
      <c r="K2481">
        <f t="shared" si="38"/>
        <v>1298.6777651197854</v>
      </c>
    </row>
    <row r="2482" spans="1:11" x14ac:dyDescent="0.2">
      <c r="A2482" t="s">
        <v>356</v>
      </c>
      <c r="B2482" t="s">
        <v>7936</v>
      </c>
      <c r="C2482" t="s">
        <v>7982</v>
      </c>
      <c r="D2482" t="s">
        <v>7983</v>
      </c>
      <c r="E2482" t="s">
        <v>1387</v>
      </c>
      <c r="F2482" t="s">
        <v>17</v>
      </c>
      <c r="G2482" t="s">
        <v>12</v>
      </c>
      <c r="H2482">
        <f>42522*(1.01^10)</f>
        <v>46970.742016735247</v>
      </c>
      <c r="I2482">
        <f>190801*(1.01^10)</f>
        <v>210763.00615058327</v>
      </c>
      <c r="J2482" t="s">
        <v>7984</v>
      </c>
      <c r="K2482">
        <f t="shared" si="38"/>
        <v>1101.7675468172988</v>
      </c>
    </row>
    <row r="2483" spans="1:11" x14ac:dyDescent="0.2">
      <c r="A2483" t="s">
        <v>356</v>
      </c>
      <c r="B2483" t="s">
        <v>7936</v>
      </c>
      <c r="C2483" t="s">
        <v>7985</v>
      </c>
      <c r="D2483" t="s">
        <v>7986</v>
      </c>
      <c r="E2483" t="s">
        <v>347</v>
      </c>
      <c r="F2483" t="s">
        <v>152</v>
      </c>
      <c r="G2483" t="s">
        <v>17</v>
      </c>
      <c r="H2483">
        <f>59078*(1.01^10)</f>
        <v>65258.865925043152</v>
      </c>
      <c r="I2483">
        <f>283197*(1.01^10)</f>
        <v>312825.67205007694</v>
      </c>
      <c r="J2483" t="s">
        <v>7987</v>
      </c>
      <c r="K2483">
        <f t="shared" si="38"/>
        <v>1036.4064372926889</v>
      </c>
    </row>
    <row r="2484" spans="1:11" x14ac:dyDescent="0.2">
      <c r="A2484" t="s">
        <v>356</v>
      </c>
      <c r="B2484" t="s">
        <v>7936</v>
      </c>
      <c r="C2484" t="s">
        <v>7988</v>
      </c>
      <c r="D2484" t="s">
        <v>7989</v>
      </c>
      <c r="E2484" t="s">
        <v>1303</v>
      </c>
      <c r="F2484" t="s">
        <v>24</v>
      </c>
      <c r="G2484" t="s">
        <v>11</v>
      </c>
      <c r="H2484">
        <f>45010*(1.01^10)</f>
        <v>49719.041864758328</v>
      </c>
      <c r="I2484">
        <f>214050*(1.01^10)</f>
        <v>236444.36594426839</v>
      </c>
      <c r="J2484" t="s">
        <v>7990</v>
      </c>
      <c r="K2484">
        <f t="shared" si="38"/>
        <v>1418.460068449471</v>
      </c>
    </row>
    <row r="2485" spans="1:11" x14ac:dyDescent="0.2">
      <c r="A2485" t="s">
        <v>356</v>
      </c>
      <c r="B2485" t="s">
        <v>7936</v>
      </c>
      <c r="C2485" t="s">
        <v>7991</v>
      </c>
      <c r="D2485" t="s">
        <v>7992</v>
      </c>
      <c r="E2485" t="s">
        <v>1060</v>
      </c>
      <c r="F2485" t="s">
        <v>5</v>
      </c>
      <c r="G2485" t="s">
        <v>5</v>
      </c>
      <c r="H2485">
        <f>40602*(1.01^10)</f>
        <v>44849.867535945734</v>
      </c>
      <c r="I2485">
        <f>195104*(1.01^10)</f>
        <v>215516.19515622768</v>
      </c>
      <c r="J2485" t="s">
        <v>7993</v>
      </c>
      <c r="K2485">
        <f t="shared" si="38"/>
        <v>1162.9493475442032</v>
      </c>
    </row>
    <row r="2486" spans="1:11" x14ac:dyDescent="0.2">
      <c r="A2486" t="s">
        <v>356</v>
      </c>
      <c r="B2486" t="s">
        <v>7936</v>
      </c>
      <c r="C2486" t="s">
        <v>7994</v>
      </c>
      <c r="D2486" t="s">
        <v>7995</v>
      </c>
      <c r="E2486" t="s">
        <v>137</v>
      </c>
      <c r="F2486" t="s">
        <v>17</v>
      </c>
      <c r="G2486" t="s">
        <v>158</v>
      </c>
      <c r="H2486">
        <f>55734*(1.01^10)</f>
        <v>61565.009537668084</v>
      </c>
      <c r="I2486">
        <f>263151*(1.01^10)</f>
        <v>290682.41692408395</v>
      </c>
      <c r="J2486" t="s">
        <v>7996</v>
      </c>
      <c r="K2486">
        <f t="shared" si="38"/>
        <v>1421.297696385164</v>
      </c>
    </row>
    <row r="2487" spans="1:11" x14ac:dyDescent="0.2">
      <c r="A2487" t="s">
        <v>356</v>
      </c>
      <c r="B2487" t="s">
        <v>7936</v>
      </c>
      <c r="C2487" t="s">
        <v>7997</v>
      </c>
      <c r="D2487" t="s">
        <v>7998</v>
      </c>
      <c r="E2487" t="s">
        <v>764</v>
      </c>
      <c r="F2487" t="s">
        <v>24</v>
      </c>
      <c r="G2487" t="s">
        <v>17</v>
      </c>
      <c r="H2487">
        <f>50413*(1.01^10)</f>
        <v>55687.315208355067</v>
      </c>
      <c r="I2487">
        <f>252164*(1.01^10)</f>
        <v>278545.93363219104</v>
      </c>
      <c r="J2487" t="s">
        <v>7999</v>
      </c>
      <c r="K2487">
        <f t="shared" si="38"/>
        <v>2517.0421807631274</v>
      </c>
    </row>
    <row r="2488" spans="1:11" x14ac:dyDescent="0.2">
      <c r="A2488" t="s">
        <v>356</v>
      </c>
      <c r="B2488" t="s">
        <v>7936</v>
      </c>
      <c r="C2488" t="s">
        <v>8000</v>
      </c>
      <c r="D2488" t="s">
        <v>8001</v>
      </c>
      <c r="E2488" t="s">
        <v>131</v>
      </c>
      <c r="F2488" t="s">
        <v>11</v>
      </c>
      <c r="G2488" t="s">
        <v>24</v>
      </c>
      <c r="H2488">
        <f>45099*(1.01^10)</f>
        <v>49817.353233919923</v>
      </c>
      <c r="I2488">
        <f>229053*(1.01^10)</f>
        <v>253017.01169181269</v>
      </c>
      <c r="J2488" t="s">
        <v>8002</v>
      </c>
      <c r="K2488">
        <f t="shared" si="38"/>
        <v>290.85958790877095</v>
      </c>
    </row>
    <row r="2489" spans="1:11" x14ac:dyDescent="0.2">
      <c r="A2489" t="s">
        <v>356</v>
      </c>
      <c r="B2489" t="s">
        <v>7936</v>
      </c>
      <c r="C2489" t="s">
        <v>8003</v>
      </c>
      <c r="D2489" t="s">
        <v>8004</v>
      </c>
      <c r="E2489" t="s">
        <v>67</v>
      </c>
      <c r="F2489" t="s">
        <v>17</v>
      </c>
      <c r="G2489" t="s">
        <v>12</v>
      </c>
      <c r="H2489">
        <f>70818*(1.01^10)</f>
        <v>78227.1296773707</v>
      </c>
      <c r="I2489">
        <f>336717*(1.01^10)</f>
        <v>371945.04820208461</v>
      </c>
      <c r="J2489" t="s">
        <v>8005</v>
      </c>
      <c r="K2489">
        <f t="shared" si="38"/>
        <v>556.36306777444838</v>
      </c>
    </row>
    <row r="2490" spans="1:11" x14ac:dyDescent="0.2">
      <c r="A2490" t="s">
        <v>356</v>
      </c>
      <c r="B2490" t="s">
        <v>7936</v>
      </c>
      <c r="C2490" t="s">
        <v>8006</v>
      </c>
      <c r="D2490" t="s">
        <v>8007</v>
      </c>
      <c r="E2490" t="s">
        <v>180</v>
      </c>
      <c r="F2490" t="s">
        <v>12</v>
      </c>
      <c r="G2490" t="s">
        <v>24</v>
      </c>
      <c r="H2490">
        <f>58197*(1.01^10)</f>
        <v>64285.69383255588</v>
      </c>
      <c r="I2490">
        <f>246598*(1.01^10)</f>
        <v>272397.60688215226</v>
      </c>
      <c r="J2490" t="s">
        <v>8008</v>
      </c>
      <c r="K2490">
        <f t="shared" si="38"/>
        <v>102.34686192115809</v>
      </c>
    </row>
    <row r="2491" spans="1:11" x14ac:dyDescent="0.2">
      <c r="A2491" t="s">
        <v>356</v>
      </c>
      <c r="B2491" t="s">
        <v>7936</v>
      </c>
      <c r="C2491" t="s">
        <v>8009</v>
      </c>
      <c r="D2491" t="s">
        <v>8010</v>
      </c>
      <c r="E2491" t="s">
        <v>313</v>
      </c>
      <c r="F2491" t="s">
        <v>24</v>
      </c>
      <c r="G2491" t="s">
        <v>24</v>
      </c>
      <c r="H2491">
        <f>45888*(1.01^10)</f>
        <v>50688.900090869363</v>
      </c>
      <c r="I2491">
        <f>220839*(1.01^10)</f>
        <v>243943.64555368506</v>
      </c>
      <c r="J2491" t="s">
        <v>8011</v>
      </c>
      <c r="K2491">
        <f t="shared" si="38"/>
        <v>851.19669091692083</v>
      </c>
    </row>
    <row r="2492" spans="1:11" x14ac:dyDescent="0.2">
      <c r="A2492" t="s">
        <v>356</v>
      </c>
      <c r="B2492" t="s">
        <v>7936</v>
      </c>
      <c r="C2492" t="s">
        <v>8012</v>
      </c>
      <c r="D2492" t="s">
        <v>8013</v>
      </c>
      <c r="E2492" t="s">
        <v>16</v>
      </c>
      <c r="F2492" t="s">
        <v>24</v>
      </c>
      <c r="G2492" t="s">
        <v>24</v>
      </c>
      <c r="H2492">
        <f>60201*(1.01^10)</f>
        <v>66499.356571879936</v>
      </c>
      <c r="I2492">
        <f>281963*(1.01^10)</f>
        <v>311462.56834731955</v>
      </c>
      <c r="J2492" t="s">
        <v>8014</v>
      </c>
      <c r="K2492">
        <f t="shared" si="38"/>
        <v>953.41401446766736</v>
      </c>
    </row>
    <row r="2493" spans="1:11" x14ac:dyDescent="0.2">
      <c r="A2493" t="s">
        <v>356</v>
      </c>
      <c r="B2493" t="s">
        <v>7936</v>
      </c>
      <c r="C2493" t="s">
        <v>8015</v>
      </c>
      <c r="D2493" t="s">
        <v>8016</v>
      </c>
      <c r="E2493" t="s">
        <v>176</v>
      </c>
      <c r="F2493" t="s">
        <v>92</v>
      </c>
      <c r="G2493" t="s">
        <v>24</v>
      </c>
      <c r="H2493">
        <f>43716*(1.01^10)</f>
        <v>48289.660834476228</v>
      </c>
      <c r="I2493">
        <f>212037*(1.01^10)</f>
        <v>234220.76160581561</v>
      </c>
      <c r="J2493" t="s">
        <v>8017</v>
      </c>
      <c r="K2493">
        <f t="shared" si="38"/>
        <v>597.76515143673123</v>
      </c>
    </row>
    <row r="2494" spans="1:11" x14ac:dyDescent="0.2">
      <c r="A2494" t="s">
        <v>356</v>
      </c>
      <c r="B2494" t="s">
        <v>7936</v>
      </c>
      <c r="C2494" t="s">
        <v>8018</v>
      </c>
      <c r="D2494" t="s">
        <v>8019</v>
      </c>
      <c r="E2494" t="s">
        <v>520</v>
      </c>
      <c r="F2494" t="s">
        <v>92</v>
      </c>
      <c r="G2494" t="s">
        <v>24</v>
      </c>
      <c r="H2494">
        <f>41433*(1.01^10)</f>
        <v>45767.80852216245</v>
      </c>
      <c r="I2494">
        <f>182830*(1.01^10)</f>
        <v>201958.06318893057</v>
      </c>
      <c r="J2494" t="s">
        <v>8020</v>
      </c>
      <c r="K2494">
        <f t="shared" si="38"/>
        <v>618.72046700041017</v>
      </c>
    </row>
    <row r="2495" spans="1:11" x14ac:dyDescent="0.2">
      <c r="A2495" t="s">
        <v>356</v>
      </c>
      <c r="B2495" t="s">
        <v>7936</v>
      </c>
      <c r="C2495" t="s">
        <v>8021</v>
      </c>
      <c r="D2495" t="s">
        <v>8022</v>
      </c>
      <c r="E2495" t="s">
        <v>324</v>
      </c>
      <c r="F2495" t="s">
        <v>92</v>
      </c>
      <c r="G2495" t="s">
        <v>24</v>
      </c>
      <c r="H2495">
        <f>69641*(1.01^10)</f>
        <v>76926.989435761716</v>
      </c>
      <c r="I2495">
        <f>331823*(1.01^10)</f>
        <v>366539.02752032218</v>
      </c>
      <c r="J2495" t="s">
        <v>8023</v>
      </c>
      <c r="K2495">
        <f t="shared" si="38"/>
        <v>523.15571342814201</v>
      </c>
    </row>
    <row r="2496" spans="1:11" x14ac:dyDescent="0.2">
      <c r="A2496" t="s">
        <v>356</v>
      </c>
      <c r="B2496" t="s">
        <v>7936</v>
      </c>
      <c r="C2496" t="s">
        <v>6484</v>
      </c>
      <c r="D2496" t="s">
        <v>6485</v>
      </c>
      <c r="E2496" t="s">
        <v>24</v>
      </c>
      <c r="F2496" t="s">
        <v>24</v>
      </c>
      <c r="G2496" t="s">
        <v>6</v>
      </c>
      <c r="H2496">
        <f>264009*(1.01^10)</f>
        <v>291630.18270768673</v>
      </c>
      <c r="I2496">
        <f>1107421*(1.01^10)</f>
        <v>1223281.7387450018</v>
      </c>
      <c r="J2496" t="s">
        <v>8024</v>
      </c>
      <c r="K2496">
        <f t="shared" si="38"/>
        <v>8959.8017926096963</v>
      </c>
    </row>
    <row r="2497" spans="1:11" x14ac:dyDescent="0.2">
      <c r="A2497" t="s">
        <v>356</v>
      </c>
      <c r="B2497" t="s">
        <v>2168</v>
      </c>
      <c r="C2497" t="s">
        <v>8025</v>
      </c>
      <c r="D2497" t="s">
        <v>8026</v>
      </c>
      <c r="E2497" t="s">
        <v>1151</v>
      </c>
      <c r="F2497" t="s">
        <v>121</v>
      </c>
      <c r="G2497" t="s">
        <v>12</v>
      </c>
      <c r="H2497">
        <f>38681*(1.01^10)</f>
        <v>42727.888433030814</v>
      </c>
      <c r="I2497">
        <f>164522*(1.01^10)</f>
        <v>181734.64131690224</v>
      </c>
      <c r="J2497" t="s">
        <v>8027</v>
      </c>
      <c r="K2497">
        <f t="shared" si="38"/>
        <v>302.7818673551082</v>
      </c>
    </row>
    <row r="2498" spans="1:11" x14ac:dyDescent="0.2">
      <c r="A2498" t="s">
        <v>356</v>
      </c>
      <c r="B2498" t="s">
        <v>2168</v>
      </c>
      <c r="C2498" t="s">
        <v>8028</v>
      </c>
      <c r="D2498" t="s">
        <v>8029</v>
      </c>
      <c r="E2498" t="s">
        <v>979</v>
      </c>
      <c r="F2498" t="s">
        <v>282</v>
      </c>
      <c r="G2498" t="s">
        <v>24</v>
      </c>
      <c r="H2498">
        <f>33936*(1.01^10)</f>
        <v>37486.456447954646</v>
      </c>
      <c r="I2498">
        <f>156153*(1.01^10)</f>
        <v>172490.05874933585</v>
      </c>
      <c r="J2498" t="s">
        <v>8030</v>
      </c>
      <c r="K2498">
        <f t="shared" si="38"/>
        <v>500.00488349766346</v>
      </c>
    </row>
    <row r="2499" spans="1:11" x14ac:dyDescent="0.2">
      <c r="A2499" t="s">
        <v>356</v>
      </c>
      <c r="B2499" t="s">
        <v>2168</v>
      </c>
      <c r="C2499" t="s">
        <v>8031</v>
      </c>
      <c r="D2499" t="s">
        <v>8032</v>
      </c>
      <c r="E2499" t="s">
        <v>1696</v>
      </c>
      <c r="F2499" t="s">
        <v>535</v>
      </c>
      <c r="G2499" t="s">
        <v>24</v>
      </c>
      <c r="H2499">
        <f>30680*(1.01^10)</f>
        <v>33889.806807615765</v>
      </c>
      <c r="I2499">
        <f>148410*(1.01^10)</f>
        <v>163936.96963227689</v>
      </c>
      <c r="J2499" t="s">
        <v>8033</v>
      </c>
      <c r="K2499">
        <f t="shared" ref="K2499:K2562" si="39">I2499/J2499</f>
        <v>463.96509128281224</v>
      </c>
    </row>
    <row r="2500" spans="1:11" x14ac:dyDescent="0.2">
      <c r="A2500" t="s">
        <v>356</v>
      </c>
      <c r="B2500" t="s">
        <v>2168</v>
      </c>
      <c r="C2500" t="s">
        <v>8034</v>
      </c>
      <c r="D2500" t="s">
        <v>8035</v>
      </c>
      <c r="E2500" t="s">
        <v>1934</v>
      </c>
      <c r="F2500" t="s">
        <v>1545</v>
      </c>
      <c r="G2500" t="s">
        <v>17</v>
      </c>
      <c r="H2500">
        <f>46452*(1.01^10)</f>
        <v>51311.906969601281</v>
      </c>
      <c r="I2500">
        <f>228513*(1.01^10)</f>
        <v>252420.51574409063</v>
      </c>
      <c r="J2500" t="s">
        <v>8036</v>
      </c>
      <c r="K2500">
        <f t="shared" si="39"/>
        <v>599.13527229122019</v>
      </c>
    </row>
    <row r="2501" spans="1:11" x14ac:dyDescent="0.2">
      <c r="A2501" t="s">
        <v>356</v>
      </c>
      <c r="B2501" t="s">
        <v>2168</v>
      </c>
      <c r="C2501" t="s">
        <v>8037</v>
      </c>
      <c r="D2501" t="s">
        <v>8038</v>
      </c>
      <c r="E2501" t="s">
        <v>2603</v>
      </c>
      <c r="F2501" t="s">
        <v>176</v>
      </c>
      <c r="G2501" t="s">
        <v>11</v>
      </c>
      <c r="H2501">
        <f>34484*(1.01^10)</f>
        <v>38091.789372679981</v>
      </c>
      <c r="I2501">
        <f>169528*(1.01^10)</f>
        <v>187264.37967671073</v>
      </c>
      <c r="J2501" t="s">
        <v>8039</v>
      </c>
      <c r="K2501">
        <f t="shared" si="39"/>
        <v>615.46657978711437</v>
      </c>
    </row>
    <row r="2502" spans="1:11" x14ac:dyDescent="0.2">
      <c r="A2502" t="s">
        <v>356</v>
      </c>
      <c r="B2502" t="s">
        <v>2168</v>
      </c>
      <c r="C2502" t="s">
        <v>8040</v>
      </c>
      <c r="D2502" t="s">
        <v>8041</v>
      </c>
      <c r="E2502" t="s">
        <v>282</v>
      </c>
      <c r="F2502" t="s">
        <v>158</v>
      </c>
      <c r="G2502" t="s">
        <v>24</v>
      </c>
      <c r="H2502">
        <f>30369*(1.01^10)</f>
        <v>33546.269326612877</v>
      </c>
      <c r="I2502">
        <f>136006*(1.01^10)</f>
        <v>150235.23678867632</v>
      </c>
      <c r="J2502" t="s">
        <v>8042</v>
      </c>
      <c r="K2502">
        <f t="shared" si="39"/>
        <v>767.10218582009395</v>
      </c>
    </row>
    <row r="2503" spans="1:11" x14ac:dyDescent="0.2">
      <c r="A2503" t="s">
        <v>356</v>
      </c>
      <c r="B2503" t="s">
        <v>2168</v>
      </c>
      <c r="C2503" t="s">
        <v>8043</v>
      </c>
      <c r="D2503" t="s">
        <v>8044</v>
      </c>
      <c r="E2503" t="s">
        <v>479</v>
      </c>
      <c r="F2503" t="s">
        <v>744</v>
      </c>
      <c r="G2503" t="s">
        <v>24</v>
      </c>
      <c r="H2503">
        <f>26263*(1.01^10)</f>
        <v>29010.690879674472</v>
      </c>
      <c r="I2503">
        <f>123269*(1.01^10)</f>
        <v>136165.6647773138</v>
      </c>
      <c r="J2503" t="s">
        <v>8045</v>
      </c>
      <c r="K2503">
        <f t="shared" si="39"/>
        <v>796.24105817044506</v>
      </c>
    </row>
    <row r="2504" spans="1:11" x14ac:dyDescent="0.2">
      <c r="A2504" t="s">
        <v>356</v>
      </c>
      <c r="B2504" t="s">
        <v>2168</v>
      </c>
      <c r="C2504" t="s">
        <v>8046</v>
      </c>
      <c r="D2504" t="s">
        <v>8047</v>
      </c>
      <c r="E2504" t="s">
        <v>679</v>
      </c>
      <c r="F2504" t="s">
        <v>158</v>
      </c>
      <c r="G2504" t="s">
        <v>24</v>
      </c>
      <c r="H2504">
        <f>46385*(1.01^10)</f>
        <v>51237.897287198735</v>
      </c>
      <c r="I2504">
        <f>219555*(1.01^10)</f>
        <v>242525.31074465706</v>
      </c>
      <c r="J2504" t="s">
        <v>8048</v>
      </c>
      <c r="K2504">
        <f t="shared" si="39"/>
        <v>1125.3688439484056</v>
      </c>
    </row>
    <row r="2505" spans="1:11" x14ac:dyDescent="0.2">
      <c r="A2505" t="s">
        <v>356</v>
      </c>
      <c r="B2505" t="s">
        <v>2168</v>
      </c>
      <c r="C2505" t="s">
        <v>8049</v>
      </c>
      <c r="D2505" t="s">
        <v>8050</v>
      </c>
      <c r="E2505" t="s">
        <v>467</v>
      </c>
      <c r="F2505" t="s">
        <v>92</v>
      </c>
      <c r="G2505" t="s">
        <v>24</v>
      </c>
      <c r="H2505">
        <f>44090*(1.01^10)</f>
        <v>48702.789509380018</v>
      </c>
      <c r="I2505">
        <f>203987*(1.01^10)</f>
        <v>225328.55349625542</v>
      </c>
      <c r="J2505" t="s">
        <v>8051</v>
      </c>
      <c r="K2505">
        <f t="shared" si="39"/>
        <v>1318.5487056095981</v>
      </c>
    </row>
    <row r="2506" spans="1:11" x14ac:dyDescent="0.2">
      <c r="A2506" t="s">
        <v>356</v>
      </c>
      <c r="B2506" t="s">
        <v>2168</v>
      </c>
      <c r="C2506" t="s">
        <v>8052</v>
      </c>
      <c r="D2506" t="s">
        <v>8053</v>
      </c>
      <c r="E2506" t="s">
        <v>324</v>
      </c>
      <c r="F2506" t="s">
        <v>24</v>
      </c>
      <c r="G2506" t="s">
        <v>24</v>
      </c>
      <c r="H2506">
        <f>50053*(1.01^10)</f>
        <v>55289.65124320703</v>
      </c>
      <c r="I2506">
        <f>238529*(1.01^10)</f>
        <v>263484.41095220926</v>
      </c>
      <c r="J2506" t="s">
        <v>8054</v>
      </c>
      <c r="K2506">
        <f t="shared" si="39"/>
        <v>1623.0345451038686</v>
      </c>
    </row>
    <row r="2507" spans="1:11" x14ac:dyDescent="0.2">
      <c r="A2507" t="s">
        <v>356</v>
      </c>
      <c r="B2507" t="s">
        <v>2168</v>
      </c>
      <c r="C2507" t="s">
        <v>8055</v>
      </c>
      <c r="D2507" t="s">
        <v>8056</v>
      </c>
      <c r="E2507" t="s">
        <v>2056</v>
      </c>
      <c r="F2507" t="s">
        <v>67</v>
      </c>
      <c r="G2507" t="s">
        <v>24</v>
      </c>
      <c r="H2507">
        <f>68756*(1.01^10)</f>
        <v>75949.398854772793</v>
      </c>
      <c r="I2507">
        <f>339248*(1.01^10)</f>
        <v>374740.84680150036</v>
      </c>
      <c r="J2507" t="s">
        <v>8057</v>
      </c>
      <c r="K2507">
        <f t="shared" si="39"/>
        <v>750.89146785318724</v>
      </c>
    </row>
    <row r="2508" spans="1:11" x14ac:dyDescent="0.2">
      <c r="A2508" t="s">
        <v>356</v>
      </c>
      <c r="B2508" t="s">
        <v>2168</v>
      </c>
      <c r="C2508" t="s">
        <v>8058</v>
      </c>
      <c r="D2508" t="s">
        <v>8059</v>
      </c>
      <c r="E2508" t="s">
        <v>1538</v>
      </c>
      <c r="F2508" t="s">
        <v>839</v>
      </c>
      <c r="G2508" t="s">
        <v>24</v>
      </c>
      <c r="H2508">
        <f>39334*(1.01^10)</f>
        <v>43449.206680924326</v>
      </c>
      <c r="I2508">
        <f>188653*(1.01^10)</f>
        <v>208390.2778252</v>
      </c>
      <c r="J2508" t="s">
        <v>8060</v>
      </c>
      <c r="K2508">
        <f t="shared" si="39"/>
        <v>376.21018204552803</v>
      </c>
    </row>
    <row r="2509" spans="1:11" x14ac:dyDescent="0.2">
      <c r="A2509" t="s">
        <v>356</v>
      </c>
      <c r="B2509" t="s">
        <v>2168</v>
      </c>
      <c r="C2509" t="s">
        <v>8061</v>
      </c>
      <c r="D2509" t="s">
        <v>8062</v>
      </c>
      <c r="E2509" t="s">
        <v>1263</v>
      </c>
      <c r="F2509" t="s">
        <v>16</v>
      </c>
      <c r="G2509" t="s">
        <v>24</v>
      </c>
      <c r="H2509">
        <f>42326*(1.01^10)</f>
        <v>46754.236080154653</v>
      </c>
      <c r="I2509">
        <f>191705*(1.01^10)</f>
        <v>211761.58455195502</v>
      </c>
      <c r="J2509" t="s">
        <v>8063</v>
      </c>
      <c r="K2509">
        <f t="shared" si="39"/>
        <v>648.35223887122368</v>
      </c>
    </row>
    <row r="2510" spans="1:11" x14ac:dyDescent="0.2">
      <c r="A2510" t="s">
        <v>356</v>
      </c>
      <c r="B2510" t="s">
        <v>2168</v>
      </c>
      <c r="C2510" t="s">
        <v>8064</v>
      </c>
      <c r="D2510" t="s">
        <v>8065</v>
      </c>
      <c r="E2510" t="s">
        <v>8066</v>
      </c>
      <c r="F2510" t="s">
        <v>1960</v>
      </c>
      <c r="G2510" t="s">
        <v>24</v>
      </c>
      <c r="H2510">
        <f>37864*(1.01^10)</f>
        <v>41825.412156569859</v>
      </c>
      <c r="I2510">
        <f>170097*(1.01^10)</f>
        <v>187892.9096660697</v>
      </c>
      <c r="J2510" t="s">
        <v>8067</v>
      </c>
      <c r="K2510">
        <f t="shared" si="39"/>
        <v>362.83291591693592</v>
      </c>
    </row>
    <row r="2511" spans="1:11" x14ac:dyDescent="0.2">
      <c r="A2511" t="s">
        <v>356</v>
      </c>
      <c r="B2511" t="s">
        <v>2168</v>
      </c>
      <c r="C2511" t="s">
        <v>8068</v>
      </c>
      <c r="D2511" t="s">
        <v>8069</v>
      </c>
      <c r="E2511" t="s">
        <v>3628</v>
      </c>
      <c r="F2511" t="s">
        <v>164</v>
      </c>
      <c r="G2511" t="s">
        <v>24</v>
      </c>
      <c r="H2511">
        <f>25773*(1.01^10)</f>
        <v>28469.42603822298</v>
      </c>
      <c r="I2511">
        <f>113197*(1.01^10)</f>
        <v>125039.91073017214</v>
      </c>
      <c r="J2511" t="s">
        <v>8070</v>
      </c>
      <c r="K2511">
        <f t="shared" si="39"/>
        <v>381.11225087565339</v>
      </c>
    </row>
    <row r="2512" spans="1:11" x14ac:dyDescent="0.2">
      <c r="A2512" t="s">
        <v>356</v>
      </c>
      <c r="B2512" t="s">
        <v>2168</v>
      </c>
      <c r="C2512" t="s">
        <v>8071</v>
      </c>
      <c r="D2512" t="s">
        <v>8072</v>
      </c>
      <c r="E2512" t="s">
        <v>676</v>
      </c>
      <c r="F2512" t="s">
        <v>411</v>
      </c>
      <c r="G2512" t="s">
        <v>24</v>
      </c>
      <c r="H2512">
        <f>23226*(1.01^10)</f>
        <v>25655.953484800641</v>
      </c>
      <c r="I2512">
        <f>104996*(1.01^10)</f>
        <v>115980.90467967486</v>
      </c>
      <c r="J2512" t="s">
        <v>8073</v>
      </c>
      <c r="K2512">
        <f t="shared" si="39"/>
        <v>686.17509660820281</v>
      </c>
    </row>
    <row r="2513" spans="1:11" x14ac:dyDescent="0.2">
      <c r="A2513" t="s">
        <v>356</v>
      </c>
      <c r="B2513" t="s">
        <v>2168</v>
      </c>
      <c r="C2513" t="s">
        <v>8074</v>
      </c>
      <c r="D2513" t="s">
        <v>8075</v>
      </c>
      <c r="E2513" t="s">
        <v>814</v>
      </c>
      <c r="F2513" t="s">
        <v>411</v>
      </c>
      <c r="G2513" t="s">
        <v>24</v>
      </c>
      <c r="H2513">
        <f>22943*(1.01^10)</f>
        <v>25343.345423309271</v>
      </c>
      <c r="I2513">
        <f>108254*(1.01^10)</f>
        <v>119579.76356426456</v>
      </c>
      <c r="J2513" t="s">
        <v>8076</v>
      </c>
      <c r="K2513">
        <f t="shared" si="39"/>
        <v>399.69343142726547</v>
      </c>
    </row>
    <row r="2514" spans="1:11" x14ac:dyDescent="0.2">
      <c r="A2514" t="s">
        <v>356</v>
      </c>
      <c r="B2514" t="s">
        <v>2168</v>
      </c>
      <c r="C2514" t="s">
        <v>8077</v>
      </c>
      <c r="D2514" t="s">
        <v>8078</v>
      </c>
      <c r="E2514" t="s">
        <v>3304</v>
      </c>
      <c r="F2514" t="s">
        <v>176</v>
      </c>
      <c r="G2514" t="s">
        <v>24</v>
      </c>
      <c r="H2514">
        <f>32074*(1.01^10)</f>
        <v>35429.650050438984</v>
      </c>
      <c r="I2514">
        <f>142199*(1.01^10)</f>
        <v>157076.1616113479</v>
      </c>
      <c r="J2514" t="s">
        <v>8079</v>
      </c>
      <c r="K2514">
        <f t="shared" si="39"/>
        <v>309.23495837206065</v>
      </c>
    </row>
    <row r="2515" spans="1:11" x14ac:dyDescent="0.2">
      <c r="A2515" t="s">
        <v>356</v>
      </c>
      <c r="B2515" t="s">
        <v>2168</v>
      </c>
      <c r="C2515" t="s">
        <v>8080</v>
      </c>
      <c r="D2515" t="s">
        <v>7912</v>
      </c>
      <c r="E2515" t="s">
        <v>718</v>
      </c>
      <c r="F2515" t="s">
        <v>829</v>
      </c>
      <c r="G2515" t="s">
        <v>24</v>
      </c>
      <c r="H2515">
        <f>25795*(1.01^10)</f>
        <v>28493.727724982025</v>
      </c>
      <c r="I2515">
        <f>115418*(1.01^10)</f>
        <v>127493.27647071044</v>
      </c>
      <c r="J2515" t="s">
        <v>8081</v>
      </c>
      <c r="K2515">
        <f t="shared" si="39"/>
        <v>497.51644796351263</v>
      </c>
    </row>
    <row r="2516" spans="1:11" x14ac:dyDescent="0.2">
      <c r="A2516" t="s">
        <v>356</v>
      </c>
      <c r="B2516" t="s">
        <v>2168</v>
      </c>
      <c r="C2516" t="s">
        <v>8082</v>
      </c>
      <c r="D2516" t="s">
        <v>8083</v>
      </c>
      <c r="E2516" t="s">
        <v>1405</v>
      </c>
      <c r="F2516" t="s">
        <v>829</v>
      </c>
      <c r="G2516" t="s">
        <v>17</v>
      </c>
      <c r="H2516">
        <f>58335*(1.01^10)</f>
        <v>64438.131685862631</v>
      </c>
      <c r="I2516">
        <f>258040*(1.01^10)</f>
        <v>285036.69324110728</v>
      </c>
      <c r="J2516" t="s">
        <v>8084</v>
      </c>
      <c r="K2516">
        <f t="shared" si="39"/>
        <v>1244.4567110227315</v>
      </c>
    </row>
    <row r="2517" spans="1:11" x14ac:dyDescent="0.2">
      <c r="A2517" t="s">
        <v>356</v>
      </c>
      <c r="B2517" t="s">
        <v>2168</v>
      </c>
      <c r="C2517" t="s">
        <v>8085</v>
      </c>
      <c r="D2517" t="s">
        <v>8086</v>
      </c>
      <c r="E2517" t="s">
        <v>1062</v>
      </c>
      <c r="F2517" t="s">
        <v>61</v>
      </c>
      <c r="G2517" t="s">
        <v>24</v>
      </c>
      <c r="H2517">
        <f>44637*(1.01^10)</f>
        <v>49307.017811979946</v>
      </c>
      <c r="I2517">
        <f>183440*(1.01^10)</f>
        <v>202631.8826854314</v>
      </c>
      <c r="J2517" t="s">
        <v>8087</v>
      </c>
      <c r="K2517">
        <f t="shared" si="39"/>
        <v>790.87347267303983</v>
      </c>
    </row>
    <row r="2518" spans="1:11" x14ac:dyDescent="0.2">
      <c r="A2518" t="s">
        <v>356</v>
      </c>
      <c r="B2518" t="s">
        <v>2168</v>
      </c>
      <c r="C2518" t="s">
        <v>8088</v>
      </c>
      <c r="D2518" t="s">
        <v>8089</v>
      </c>
      <c r="E2518" t="s">
        <v>1662</v>
      </c>
      <c r="F2518" t="s">
        <v>411</v>
      </c>
      <c r="G2518" t="s">
        <v>12</v>
      </c>
      <c r="H2518">
        <f>66456*(1.01^10)</f>
        <v>73408.767966327025</v>
      </c>
      <c r="I2518">
        <f>288619*(1.01^10)</f>
        <v>318814.93321405648</v>
      </c>
      <c r="J2518" t="s">
        <v>8090</v>
      </c>
      <c r="K2518">
        <f t="shared" si="39"/>
        <v>865.91744482269178</v>
      </c>
    </row>
    <row r="2519" spans="1:11" x14ac:dyDescent="0.2">
      <c r="A2519" t="s">
        <v>356</v>
      </c>
      <c r="B2519" t="s">
        <v>2168</v>
      </c>
      <c r="C2519" t="s">
        <v>8091</v>
      </c>
      <c r="D2519" t="s">
        <v>8092</v>
      </c>
      <c r="E2519" t="s">
        <v>676</v>
      </c>
      <c r="F2519" t="s">
        <v>6</v>
      </c>
      <c r="G2519" t="s">
        <v>24</v>
      </c>
      <c r="H2519">
        <f>46904*(1.01^10)</f>
        <v>51811.196170287149</v>
      </c>
      <c r="I2519">
        <f>194809*(1.01^10)</f>
        <v>215190.3316292314</v>
      </c>
      <c r="J2519" t="s">
        <v>8093</v>
      </c>
      <c r="K2519">
        <f t="shared" si="39"/>
        <v>880.14407106471594</v>
      </c>
    </row>
    <row r="2520" spans="1:11" x14ac:dyDescent="0.2">
      <c r="A2520" t="s">
        <v>356</v>
      </c>
      <c r="B2520" t="s">
        <v>2168</v>
      </c>
      <c r="C2520" t="s">
        <v>8094</v>
      </c>
      <c r="D2520" t="s">
        <v>8095</v>
      </c>
      <c r="E2520" t="s">
        <v>242</v>
      </c>
      <c r="F2520" t="s">
        <v>158</v>
      </c>
      <c r="G2520" t="s">
        <v>24</v>
      </c>
      <c r="H2520">
        <f>63167*(1.01^10)</f>
        <v>69775.665795849563</v>
      </c>
      <c r="I2520">
        <f>270492*(1.01^10)</f>
        <v>298791.44794672757</v>
      </c>
      <c r="J2520" t="s">
        <v>8096</v>
      </c>
      <c r="K2520">
        <f t="shared" si="39"/>
        <v>1008.8655883734535</v>
      </c>
    </row>
    <row r="2521" spans="1:11" x14ac:dyDescent="0.2">
      <c r="A2521" t="s">
        <v>356</v>
      </c>
      <c r="B2521" t="s">
        <v>2168</v>
      </c>
      <c r="C2521" t="s">
        <v>8097</v>
      </c>
      <c r="D2521" t="s">
        <v>8098</v>
      </c>
      <c r="E2521" t="s">
        <v>691</v>
      </c>
      <c r="F2521" t="s">
        <v>180</v>
      </c>
      <c r="G2521" t="s">
        <v>12</v>
      </c>
      <c r="H2521">
        <f>68886*(1.01^10)</f>
        <v>76092.999731076256</v>
      </c>
      <c r="I2521">
        <f>302620*(1.01^10)</f>
        <v>334280.74759193877</v>
      </c>
      <c r="J2521" t="s">
        <v>8099</v>
      </c>
      <c r="K2521">
        <f t="shared" si="39"/>
        <v>655.09974114394265</v>
      </c>
    </row>
    <row r="2522" spans="1:11" x14ac:dyDescent="0.2">
      <c r="A2522" t="s">
        <v>356</v>
      </c>
      <c r="B2522" t="s">
        <v>2168</v>
      </c>
      <c r="C2522" t="s">
        <v>8100</v>
      </c>
      <c r="D2522" t="s">
        <v>8101</v>
      </c>
      <c r="E2522" t="s">
        <v>740</v>
      </c>
      <c r="F2522" t="s">
        <v>445</v>
      </c>
      <c r="G2522" t="s">
        <v>24</v>
      </c>
      <c r="H2522">
        <f>35298*(1.01^10)</f>
        <v>38990.951782764707</v>
      </c>
      <c r="I2522">
        <f>149260*(1.01^10)</f>
        <v>164875.89843887641</v>
      </c>
      <c r="J2522" t="s">
        <v>8102</v>
      </c>
      <c r="K2522">
        <f t="shared" si="39"/>
        <v>562.03202956205985</v>
      </c>
    </row>
    <row r="2523" spans="1:11" x14ac:dyDescent="0.2">
      <c r="A2523" t="s">
        <v>356</v>
      </c>
      <c r="B2523" t="s">
        <v>2168</v>
      </c>
      <c r="C2523" t="s">
        <v>8103</v>
      </c>
      <c r="D2523" t="s">
        <v>8104</v>
      </c>
      <c r="E2523" t="s">
        <v>385</v>
      </c>
      <c r="F2523" t="s">
        <v>411</v>
      </c>
      <c r="G2523" t="s">
        <v>12</v>
      </c>
      <c r="H2523">
        <f>38259*(1.01^10)</f>
        <v>42261.737896107283</v>
      </c>
      <c r="I2523">
        <f>172107*(1.01^10)</f>
        <v>190113.2001381462</v>
      </c>
      <c r="J2523" t="s">
        <v>8105</v>
      </c>
      <c r="K2523">
        <f t="shared" si="39"/>
        <v>739.27585080543179</v>
      </c>
    </row>
    <row r="2524" spans="1:11" x14ac:dyDescent="0.2">
      <c r="A2524" t="s">
        <v>356</v>
      </c>
      <c r="B2524" t="s">
        <v>2168</v>
      </c>
      <c r="C2524" t="s">
        <v>8106</v>
      </c>
      <c r="D2524" t="s">
        <v>8107</v>
      </c>
      <c r="E2524" t="s">
        <v>4</v>
      </c>
      <c r="F2524" t="s">
        <v>405</v>
      </c>
      <c r="G2524" t="s">
        <v>24</v>
      </c>
      <c r="H2524">
        <f>32809*(1.01^10)</f>
        <v>36241.547312616218</v>
      </c>
      <c r="I2524">
        <f>155017*(1.01^10)</f>
        <v>171235.20801486872</v>
      </c>
      <c r="J2524" t="s">
        <v>8108</v>
      </c>
      <c r="K2524">
        <f t="shared" si="39"/>
        <v>914.85140145628998</v>
      </c>
    </row>
    <row r="2525" spans="1:11" x14ac:dyDescent="0.2">
      <c r="A2525" t="s">
        <v>356</v>
      </c>
      <c r="B2525" t="s">
        <v>2168</v>
      </c>
      <c r="C2525" t="s">
        <v>8109</v>
      </c>
      <c r="D2525" t="s">
        <v>4545</v>
      </c>
      <c r="E2525" t="s">
        <v>977</v>
      </c>
      <c r="F2525" t="s">
        <v>11</v>
      </c>
      <c r="G2525" t="s">
        <v>24</v>
      </c>
      <c r="H2525">
        <f>24107*(1.01^10)</f>
        <v>26629.125577287912</v>
      </c>
      <c r="I2525">
        <f>111901*(1.01^10)</f>
        <v>123608.32045563922</v>
      </c>
      <c r="J2525" t="s">
        <v>8110</v>
      </c>
      <c r="K2525">
        <f t="shared" si="39"/>
        <v>928.33370533581092</v>
      </c>
    </row>
    <row r="2526" spans="1:11" x14ac:dyDescent="0.2">
      <c r="A2526" t="s">
        <v>356</v>
      </c>
      <c r="B2526" t="s">
        <v>2168</v>
      </c>
      <c r="C2526" t="s">
        <v>6484</v>
      </c>
      <c r="D2526" t="s">
        <v>6485</v>
      </c>
      <c r="E2526" t="s">
        <v>24</v>
      </c>
      <c r="F2526" t="s">
        <v>24</v>
      </c>
      <c r="G2526" t="s">
        <v>152</v>
      </c>
      <c r="H2526">
        <f>123268*(1.01^10)</f>
        <v>136164.56015518837</v>
      </c>
      <c r="I2526">
        <f>564913*(1.01^10)</f>
        <v>624015.39873241994</v>
      </c>
      <c r="J2526" t="s">
        <v>8111</v>
      </c>
      <c r="K2526">
        <f t="shared" si="39"/>
        <v>3197.9470031897708</v>
      </c>
    </row>
    <row r="2527" spans="1:11" x14ac:dyDescent="0.2">
      <c r="A2527" t="s">
        <v>356</v>
      </c>
      <c r="B2527" t="s">
        <v>373</v>
      </c>
      <c r="C2527" t="s">
        <v>8112</v>
      </c>
      <c r="D2527" t="s">
        <v>8113</v>
      </c>
      <c r="E2527" t="s">
        <v>933</v>
      </c>
      <c r="F2527" t="s">
        <v>92</v>
      </c>
      <c r="G2527" t="s">
        <v>24</v>
      </c>
      <c r="H2527">
        <f>62854*(1.01^10)</f>
        <v>69429.919070595861</v>
      </c>
      <c r="I2527">
        <f>283303*(1.01^10)</f>
        <v>312942.76199537056</v>
      </c>
      <c r="J2527" t="s">
        <v>8114</v>
      </c>
      <c r="K2527">
        <f t="shared" si="39"/>
        <v>1275.0485861061836</v>
      </c>
    </row>
    <row r="2528" spans="1:11" x14ac:dyDescent="0.2">
      <c r="A2528" t="s">
        <v>356</v>
      </c>
      <c r="B2528" t="s">
        <v>373</v>
      </c>
      <c r="C2528" t="s">
        <v>8115</v>
      </c>
      <c r="D2528" t="s">
        <v>8116</v>
      </c>
      <c r="E2528" t="s">
        <v>1549</v>
      </c>
      <c r="F2528" t="s">
        <v>11</v>
      </c>
      <c r="G2528" t="s">
        <v>5</v>
      </c>
      <c r="H2528">
        <f>62519*(1.01^10)</f>
        <v>69059.87065858311</v>
      </c>
      <c r="I2528">
        <f>290124*(1.01^10)</f>
        <v>320477.38951280038</v>
      </c>
      <c r="J2528" t="s">
        <v>8117</v>
      </c>
      <c r="K2528">
        <f t="shared" si="39"/>
        <v>1809.826479272486</v>
      </c>
    </row>
    <row r="2529" spans="1:11" x14ac:dyDescent="0.2">
      <c r="A2529" t="s">
        <v>356</v>
      </c>
      <c r="B2529" t="s">
        <v>373</v>
      </c>
      <c r="C2529" t="s">
        <v>8118</v>
      </c>
      <c r="D2529" t="s">
        <v>8119</v>
      </c>
      <c r="E2529" t="s">
        <v>1223</v>
      </c>
      <c r="F2529" t="s">
        <v>24</v>
      </c>
      <c r="G2529" t="s">
        <v>17</v>
      </c>
      <c r="H2529">
        <f>48310*(1.01^10)</f>
        <v>53364.294878615299</v>
      </c>
      <c r="I2529">
        <f>217776*(1.01^10)</f>
        <v>240560.18798355054</v>
      </c>
      <c r="J2529" t="s">
        <v>8120</v>
      </c>
      <c r="K2529">
        <f t="shared" si="39"/>
        <v>2099.3790974158778</v>
      </c>
    </row>
    <row r="2530" spans="1:11" x14ac:dyDescent="0.2">
      <c r="A2530" t="s">
        <v>356</v>
      </c>
      <c r="B2530" t="s">
        <v>373</v>
      </c>
      <c r="C2530" t="s">
        <v>8121</v>
      </c>
      <c r="D2530" t="s">
        <v>8122</v>
      </c>
      <c r="E2530" t="s">
        <v>1195</v>
      </c>
      <c r="F2530" t="s">
        <v>92</v>
      </c>
      <c r="G2530" t="s">
        <v>17</v>
      </c>
      <c r="H2530">
        <f>45038*(1.01^10)</f>
        <v>49749.971284269843</v>
      </c>
      <c r="I2530">
        <f>199210*(1.01^10)</f>
        <v>220051.7736031661</v>
      </c>
      <c r="J2530" t="s">
        <v>8123</v>
      </c>
      <c r="K2530">
        <f t="shared" si="39"/>
        <v>1537.0755418850388</v>
      </c>
    </row>
    <row r="2531" spans="1:11" x14ac:dyDescent="0.2">
      <c r="A2531" t="s">
        <v>356</v>
      </c>
      <c r="B2531" t="s">
        <v>373</v>
      </c>
      <c r="C2531" t="s">
        <v>8124</v>
      </c>
      <c r="D2531" t="s">
        <v>8125</v>
      </c>
      <c r="E2531" t="s">
        <v>977</v>
      </c>
      <c r="F2531" t="s">
        <v>12</v>
      </c>
      <c r="G2531" t="s">
        <v>24</v>
      </c>
      <c r="H2531">
        <f>59240*(1.01^10)</f>
        <v>65437.814709359773</v>
      </c>
      <c r="I2531">
        <f>262998*(1.01^10)</f>
        <v>290513.40973889601</v>
      </c>
      <c r="J2531" t="s">
        <v>8126</v>
      </c>
      <c r="K2531">
        <f t="shared" si="39"/>
        <v>1911.4931713440405</v>
      </c>
    </row>
    <row r="2532" spans="1:11" x14ac:dyDescent="0.2">
      <c r="A2532" t="s">
        <v>356</v>
      </c>
      <c r="B2532" t="s">
        <v>373</v>
      </c>
      <c r="C2532" t="s">
        <v>8127</v>
      </c>
      <c r="D2532" t="s">
        <v>8128</v>
      </c>
      <c r="E2532" t="s">
        <v>1106</v>
      </c>
      <c r="F2532" t="s">
        <v>17</v>
      </c>
      <c r="G2532" t="s">
        <v>12</v>
      </c>
      <c r="H2532">
        <f>44970*(1.01^10)</f>
        <v>49674.856979741875</v>
      </c>
      <c r="I2532">
        <f>206277*(1.01^10)</f>
        <v>227858.13816344709</v>
      </c>
      <c r="J2532" t="s">
        <v>8129</v>
      </c>
      <c r="K2532">
        <f t="shared" si="39"/>
        <v>1133.3287610661052</v>
      </c>
    </row>
    <row r="2533" spans="1:11" x14ac:dyDescent="0.2">
      <c r="A2533" t="s">
        <v>356</v>
      </c>
      <c r="B2533" t="s">
        <v>373</v>
      </c>
      <c r="C2533" t="s">
        <v>8130</v>
      </c>
      <c r="D2533" t="s">
        <v>8131</v>
      </c>
      <c r="E2533" t="s">
        <v>879</v>
      </c>
      <c r="F2533" t="s">
        <v>24</v>
      </c>
      <c r="G2533" t="s">
        <v>12</v>
      </c>
      <c r="H2533">
        <f>53356*(1.01^10)</f>
        <v>58938.218123440238</v>
      </c>
      <c r="I2533">
        <f>226927*(1.01^10)</f>
        <v>250668.58505318846</v>
      </c>
      <c r="J2533" t="s">
        <v>8132</v>
      </c>
      <c r="K2533">
        <f t="shared" si="39"/>
        <v>1279.6349153845099</v>
      </c>
    </row>
    <row r="2534" spans="1:11" x14ac:dyDescent="0.2">
      <c r="A2534" t="s">
        <v>356</v>
      </c>
      <c r="B2534" t="s">
        <v>373</v>
      </c>
      <c r="C2534" t="s">
        <v>8133</v>
      </c>
      <c r="D2534" t="s">
        <v>8134</v>
      </c>
      <c r="E2534" t="s">
        <v>1233</v>
      </c>
      <c r="F2534" t="s">
        <v>11</v>
      </c>
      <c r="G2534" t="s">
        <v>12</v>
      </c>
      <c r="H2534">
        <f>40659*(1.01^10)</f>
        <v>44912.830997094177</v>
      </c>
      <c r="I2534">
        <f>173377*(1.01^10)</f>
        <v>191516.07023741843</v>
      </c>
      <c r="J2534" t="s">
        <v>8135</v>
      </c>
      <c r="K2534">
        <f t="shared" si="39"/>
        <v>1019.0142463366573</v>
      </c>
    </row>
    <row r="2535" spans="1:11" x14ac:dyDescent="0.2">
      <c r="A2535" t="s">
        <v>356</v>
      </c>
      <c r="B2535" t="s">
        <v>373</v>
      </c>
      <c r="C2535" t="s">
        <v>8136</v>
      </c>
      <c r="D2535" t="s">
        <v>8137</v>
      </c>
      <c r="E2535" t="s">
        <v>2162</v>
      </c>
      <c r="F2535" t="s">
        <v>6</v>
      </c>
      <c r="G2535" t="s">
        <v>24</v>
      </c>
      <c r="H2535">
        <f>40105*(1.01^10)</f>
        <v>44300.870339616369</v>
      </c>
      <c r="I2535">
        <f>175056*(1.01^10)</f>
        <v>193370.73078598385</v>
      </c>
      <c r="J2535" t="s">
        <v>8138</v>
      </c>
      <c r="K2535">
        <f t="shared" si="39"/>
        <v>924.49474165072547</v>
      </c>
    </row>
    <row r="2536" spans="1:11" x14ac:dyDescent="0.2">
      <c r="A2536" t="s">
        <v>356</v>
      </c>
      <c r="B2536" t="s">
        <v>373</v>
      </c>
      <c r="C2536" t="s">
        <v>8139</v>
      </c>
      <c r="D2536" t="s">
        <v>8140</v>
      </c>
      <c r="E2536" t="s">
        <v>806</v>
      </c>
      <c r="F2536" t="s">
        <v>12</v>
      </c>
      <c r="G2536" t="s">
        <v>24</v>
      </c>
      <c r="H2536">
        <f>45285*(1.01^10)</f>
        <v>50022.812949246407</v>
      </c>
      <c r="I2536">
        <f>192162*(1.01^10)</f>
        <v>212266.39686326793</v>
      </c>
      <c r="J2536" t="s">
        <v>8141</v>
      </c>
      <c r="K2536">
        <f t="shared" si="39"/>
        <v>993.97593648400107</v>
      </c>
    </row>
    <row r="2537" spans="1:11" x14ac:dyDescent="0.2">
      <c r="A2537" t="s">
        <v>356</v>
      </c>
      <c r="B2537" t="s">
        <v>373</v>
      </c>
      <c r="C2537" t="s">
        <v>8142</v>
      </c>
      <c r="D2537" t="s">
        <v>8143</v>
      </c>
      <c r="E2537" t="s">
        <v>1401</v>
      </c>
      <c r="F2537" t="s">
        <v>12</v>
      </c>
      <c r="G2537" t="s">
        <v>17</v>
      </c>
      <c r="H2537">
        <f>54750*(1.01^10)</f>
        <v>60478.061366263457</v>
      </c>
      <c r="I2537">
        <f>234432*(1.01^10)</f>
        <v>258958.77410439955</v>
      </c>
      <c r="J2537" t="s">
        <v>8144</v>
      </c>
      <c r="K2537">
        <f t="shared" si="39"/>
        <v>1306.8872802305214</v>
      </c>
    </row>
    <row r="2538" spans="1:11" x14ac:dyDescent="0.2">
      <c r="A2538" t="s">
        <v>356</v>
      </c>
      <c r="B2538" t="s">
        <v>373</v>
      </c>
      <c r="C2538" t="s">
        <v>8145</v>
      </c>
      <c r="D2538" t="s">
        <v>8146</v>
      </c>
      <c r="E2538" t="s">
        <v>1328</v>
      </c>
      <c r="F2538" t="s">
        <v>12</v>
      </c>
      <c r="G2538" t="s">
        <v>17</v>
      </c>
      <c r="H2538">
        <f>40168*(1.01^10)</f>
        <v>44370.461533517271</v>
      </c>
      <c r="I2538">
        <f>188119*(1.01^10)</f>
        <v>207800.40961023042</v>
      </c>
      <c r="J2538" t="s">
        <v>8147</v>
      </c>
      <c r="K2538">
        <f t="shared" si="39"/>
        <v>1290.7168409813198</v>
      </c>
    </row>
    <row r="2539" spans="1:11" x14ac:dyDescent="0.2">
      <c r="A2539" t="s">
        <v>356</v>
      </c>
      <c r="B2539" t="s">
        <v>373</v>
      </c>
      <c r="C2539" t="s">
        <v>8148</v>
      </c>
      <c r="D2539" t="s">
        <v>8149</v>
      </c>
      <c r="E2539" t="s">
        <v>394</v>
      </c>
      <c r="F2539" t="s">
        <v>17</v>
      </c>
      <c r="G2539" t="s">
        <v>12</v>
      </c>
      <c r="H2539">
        <f>26936*(1.01^10)</f>
        <v>29754.101570076211</v>
      </c>
      <c r="I2539">
        <f>123784*(1.01^10)</f>
        <v>136734.54517190057</v>
      </c>
      <c r="J2539" t="s">
        <v>8150</v>
      </c>
      <c r="K2539">
        <f t="shared" si="39"/>
        <v>1809.8697537415192</v>
      </c>
    </row>
    <row r="2540" spans="1:11" x14ac:dyDescent="0.2">
      <c r="A2540" t="s">
        <v>356</v>
      </c>
      <c r="B2540" t="s">
        <v>373</v>
      </c>
      <c r="C2540" t="s">
        <v>8151</v>
      </c>
      <c r="D2540" t="s">
        <v>8152</v>
      </c>
      <c r="E2540" t="s">
        <v>726</v>
      </c>
      <c r="F2540" t="s">
        <v>24</v>
      </c>
      <c r="G2540" t="s">
        <v>24</v>
      </c>
      <c r="H2540">
        <f>22385*(1.01^10)</f>
        <v>24726.966277329819</v>
      </c>
      <c r="I2540">
        <f>97992*(1.01^10)</f>
        <v>108244.13131329477</v>
      </c>
      <c r="J2540" t="s">
        <v>8153</v>
      </c>
      <c r="K2540">
        <f t="shared" si="39"/>
        <v>361.07802920569139</v>
      </c>
    </row>
    <row r="2541" spans="1:11" x14ac:dyDescent="0.2">
      <c r="A2541" t="s">
        <v>356</v>
      </c>
      <c r="B2541" t="s">
        <v>373</v>
      </c>
      <c r="C2541" t="s">
        <v>8154</v>
      </c>
      <c r="D2541" t="s">
        <v>8155</v>
      </c>
      <c r="E2541" t="s">
        <v>148</v>
      </c>
      <c r="F2541" t="s">
        <v>24</v>
      </c>
      <c r="G2541" t="s">
        <v>12</v>
      </c>
      <c r="H2541">
        <f>42289*(1.01^10)</f>
        <v>46713.365061514436</v>
      </c>
      <c r="I2541">
        <f>207835*(1.01^10)</f>
        <v>229579.13943483774</v>
      </c>
      <c r="J2541" t="s">
        <v>8156</v>
      </c>
      <c r="K2541">
        <f t="shared" si="39"/>
        <v>1393.2936901681674</v>
      </c>
    </row>
    <row r="2542" spans="1:11" x14ac:dyDescent="0.2">
      <c r="A2542" t="s">
        <v>356</v>
      </c>
      <c r="B2542" t="s">
        <v>373</v>
      </c>
      <c r="C2542" t="s">
        <v>8157</v>
      </c>
      <c r="D2542" t="s">
        <v>8158</v>
      </c>
      <c r="E2542" t="s">
        <v>829</v>
      </c>
      <c r="F2542" t="s">
        <v>24</v>
      </c>
      <c r="G2542" t="s">
        <v>12</v>
      </c>
      <c r="H2542">
        <f>26902*(1.01^10)</f>
        <v>29716.544417812231</v>
      </c>
      <c r="I2542">
        <f>123219*(1.01^10)</f>
        <v>136110.43367104323</v>
      </c>
      <c r="J2542" t="s">
        <v>8159</v>
      </c>
      <c r="K2542">
        <f t="shared" si="39"/>
        <v>887.84977964225311</v>
      </c>
    </row>
    <row r="2543" spans="1:11" x14ac:dyDescent="0.2">
      <c r="A2543" t="s">
        <v>356</v>
      </c>
      <c r="B2543" t="s">
        <v>373</v>
      </c>
      <c r="C2543" t="s">
        <v>8160</v>
      </c>
      <c r="D2543" t="s">
        <v>8161</v>
      </c>
      <c r="E2543" t="s">
        <v>176</v>
      </c>
      <c r="F2543" t="s">
        <v>24</v>
      </c>
      <c r="G2543" t="s">
        <v>24</v>
      </c>
      <c r="H2543">
        <f>27554*(1.01^10)</f>
        <v>30436.758043580336</v>
      </c>
      <c r="I2543">
        <f>132992*(1.01^10)</f>
        <v>146905.90570268696</v>
      </c>
      <c r="J2543" t="s">
        <v>8162</v>
      </c>
      <c r="K2543">
        <f t="shared" si="39"/>
        <v>1141.1750684386525</v>
      </c>
    </row>
    <row r="2544" spans="1:11" x14ac:dyDescent="0.2">
      <c r="A2544" t="s">
        <v>356</v>
      </c>
      <c r="B2544" t="s">
        <v>373</v>
      </c>
      <c r="C2544" t="s">
        <v>8163</v>
      </c>
      <c r="D2544" t="s">
        <v>8164</v>
      </c>
      <c r="E2544" t="s">
        <v>611</v>
      </c>
      <c r="F2544" t="s">
        <v>17</v>
      </c>
      <c r="G2544" t="s">
        <v>24</v>
      </c>
      <c r="H2544">
        <f>27260*(1.01^10)</f>
        <v>30111.999138709441</v>
      </c>
      <c r="I2544">
        <f>139463*(1.01^10)</f>
        <v>154053.91547622284</v>
      </c>
      <c r="J2544" t="s">
        <v>8165</v>
      </c>
      <c r="K2544">
        <f t="shared" si="39"/>
        <v>1058.0583167692332</v>
      </c>
    </row>
    <row r="2545" spans="1:11" x14ac:dyDescent="0.2">
      <c r="A2545" t="s">
        <v>356</v>
      </c>
      <c r="B2545" t="s">
        <v>373</v>
      </c>
      <c r="C2545" t="s">
        <v>8166</v>
      </c>
      <c r="D2545" t="s">
        <v>8167</v>
      </c>
      <c r="E2545" t="s">
        <v>667</v>
      </c>
      <c r="F2545" t="s">
        <v>5</v>
      </c>
      <c r="G2545" t="s">
        <v>24</v>
      </c>
      <c r="H2545">
        <f>37073*(1.01^10)</f>
        <v>40951.656055369596</v>
      </c>
      <c r="I2545">
        <f>170894*(1.01^10)</f>
        <v>188773.29350002241</v>
      </c>
      <c r="J2545" t="s">
        <v>8168</v>
      </c>
      <c r="K2545">
        <f t="shared" si="39"/>
        <v>1163.5641678293198</v>
      </c>
    </row>
    <row r="2546" spans="1:11" x14ac:dyDescent="0.2">
      <c r="A2546" t="s">
        <v>356</v>
      </c>
      <c r="B2546" t="s">
        <v>373</v>
      </c>
      <c r="C2546" t="s">
        <v>8169</v>
      </c>
      <c r="D2546" t="s">
        <v>8170</v>
      </c>
      <c r="E2546" t="s">
        <v>310</v>
      </c>
      <c r="F2546" t="s">
        <v>17</v>
      </c>
      <c r="G2546" t="s">
        <v>12</v>
      </c>
      <c r="H2546">
        <f>38080*(1.01^10)</f>
        <v>42064.010535658679</v>
      </c>
      <c r="I2546">
        <f>176393*(1.01^10)</f>
        <v>194847.61056765864</v>
      </c>
      <c r="J2546" t="s">
        <v>8171</v>
      </c>
      <c r="K2546">
        <f t="shared" si="39"/>
        <v>845.89002613202194</v>
      </c>
    </row>
    <row r="2547" spans="1:11" x14ac:dyDescent="0.2">
      <c r="A2547" t="s">
        <v>356</v>
      </c>
      <c r="B2547" t="s">
        <v>373</v>
      </c>
      <c r="C2547" t="s">
        <v>8172</v>
      </c>
      <c r="D2547" t="s">
        <v>8173</v>
      </c>
      <c r="E2547" t="s">
        <v>310</v>
      </c>
      <c r="F2547" t="s">
        <v>24</v>
      </c>
      <c r="G2547" t="s">
        <v>24</v>
      </c>
      <c r="H2547">
        <f>34342*(1.01^10)</f>
        <v>37934.933030871594</v>
      </c>
      <c r="I2547">
        <f>157793*(1.01^10)</f>
        <v>174301.63903501024</v>
      </c>
      <c r="J2547" t="s">
        <v>8174</v>
      </c>
      <c r="K2547">
        <f t="shared" si="39"/>
        <v>906.19731513346937</v>
      </c>
    </row>
    <row r="2548" spans="1:11" x14ac:dyDescent="0.2">
      <c r="A2548" t="s">
        <v>356</v>
      </c>
      <c r="B2548" t="s">
        <v>373</v>
      </c>
      <c r="C2548" t="s">
        <v>8175</v>
      </c>
      <c r="D2548" t="s">
        <v>8176</v>
      </c>
      <c r="E2548" t="s">
        <v>404</v>
      </c>
      <c r="F2548" t="s">
        <v>405</v>
      </c>
      <c r="G2548" t="s">
        <v>24</v>
      </c>
      <c r="H2548">
        <f>35273*(1.01^10)</f>
        <v>38963.336229629422</v>
      </c>
      <c r="I2548">
        <f>167163*(1.01^10)</f>
        <v>184651.94835011321</v>
      </c>
      <c r="J2548" t="s">
        <v>8177</v>
      </c>
      <c r="K2548">
        <f t="shared" si="39"/>
        <v>877.04013119626984</v>
      </c>
    </row>
    <row r="2549" spans="1:11" x14ac:dyDescent="0.2">
      <c r="A2549" t="s">
        <v>356</v>
      </c>
      <c r="B2549" t="s">
        <v>373</v>
      </c>
      <c r="C2549" t="s">
        <v>8178</v>
      </c>
      <c r="D2549" t="s">
        <v>8179</v>
      </c>
      <c r="E2549" t="s">
        <v>1960</v>
      </c>
      <c r="F2549" t="s">
        <v>17</v>
      </c>
      <c r="G2549" t="s">
        <v>24</v>
      </c>
      <c r="H2549">
        <f>39034*(1.01^10)</f>
        <v>43117.82004330097</v>
      </c>
      <c r="I2549">
        <f>178763*(1.01^10)</f>
        <v>197465.56500488319</v>
      </c>
      <c r="J2549" t="s">
        <v>8180</v>
      </c>
      <c r="K2549">
        <f t="shared" si="39"/>
        <v>841.07656161716193</v>
      </c>
    </row>
    <row r="2550" spans="1:11" x14ac:dyDescent="0.2">
      <c r="A2550" t="s">
        <v>356</v>
      </c>
      <c r="B2550" t="s">
        <v>373</v>
      </c>
      <c r="C2550" t="s">
        <v>8181</v>
      </c>
      <c r="D2550" t="s">
        <v>8182</v>
      </c>
      <c r="E2550" t="s">
        <v>771</v>
      </c>
      <c r="F2550" t="s">
        <v>382</v>
      </c>
      <c r="G2550" t="s">
        <v>12</v>
      </c>
      <c r="H2550">
        <f>34648*(1.01^10)</f>
        <v>38272.947401247424</v>
      </c>
      <c r="I2550">
        <f>167330*(1.01^10)</f>
        <v>184836.42024505688</v>
      </c>
      <c r="J2550" t="s">
        <v>8183</v>
      </c>
      <c r="K2550">
        <f t="shared" si="39"/>
        <v>1037.4432828544957</v>
      </c>
    </row>
    <row r="2551" spans="1:11" x14ac:dyDescent="0.2">
      <c r="A2551" t="s">
        <v>356</v>
      </c>
      <c r="B2551" t="s">
        <v>373</v>
      </c>
      <c r="C2551" t="s">
        <v>8184</v>
      </c>
      <c r="D2551" t="s">
        <v>8185</v>
      </c>
      <c r="E2551" t="s">
        <v>58</v>
      </c>
      <c r="F2551" t="s">
        <v>11</v>
      </c>
      <c r="G2551" t="s">
        <v>24</v>
      </c>
      <c r="H2551">
        <f>31612*(1.01^10)</f>
        <v>34919.314628499007</v>
      </c>
      <c r="I2551">
        <f>156054*(1.01^10)</f>
        <v>172380.70115892016</v>
      </c>
      <c r="J2551" t="s">
        <v>8186</v>
      </c>
      <c r="K2551">
        <f t="shared" si="39"/>
        <v>1084.5250344112524</v>
      </c>
    </row>
    <row r="2552" spans="1:11" x14ac:dyDescent="0.2">
      <c r="A2552" t="s">
        <v>356</v>
      </c>
      <c r="B2552" t="s">
        <v>373</v>
      </c>
      <c r="C2552" t="s">
        <v>6484</v>
      </c>
      <c r="D2552" t="s">
        <v>6485</v>
      </c>
      <c r="E2552" t="s">
        <v>24</v>
      </c>
      <c r="F2552" t="s">
        <v>24</v>
      </c>
      <c r="G2552" t="s">
        <v>92</v>
      </c>
      <c r="H2552">
        <f>93528*(1.01^10)</f>
        <v>103313.09814545915</v>
      </c>
      <c r="I2552">
        <f>446439*(1.01^10)</f>
        <v>493146.39704645285</v>
      </c>
      <c r="J2552" t="s">
        <v>8187</v>
      </c>
      <c r="K2552">
        <f t="shared" si="39"/>
        <v>2756.3937010030345</v>
      </c>
    </row>
    <row r="2553" spans="1:11" x14ac:dyDescent="0.2">
      <c r="A2553" t="s">
        <v>422</v>
      </c>
      <c r="B2553" t="s">
        <v>2079</v>
      </c>
      <c r="C2553" t="s">
        <v>8188</v>
      </c>
      <c r="D2553" t="s">
        <v>8189</v>
      </c>
      <c r="E2553" t="s">
        <v>422</v>
      </c>
      <c r="F2553" t="s">
        <v>24</v>
      </c>
      <c r="G2553" t="s">
        <v>24</v>
      </c>
      <c r="H2553">
        <f>10596*(1.01^10)</f>
        <v>11704.576040857126</v>
      </c>
      <c r="I2553">
        <f>51479*(1.01^10)</f>
        <v>56864.842394043408</v>
      </c>
      <c r="J2553" t="s">
        <v>8190</v>
      </c>
      <c r="K2553">
        <f t="shared" si="39"/>
        <v>376.87711303907997</v>
      </c>
    </row>
    <row r="2554" spans="1:11" x14ac:dyDescent="0.2">
      <c r="A2554" t="s">
        <v>422</v>
      </c>
      <c r="B2554" t="s">
        <v>2079</v>
      </c>
      <c r="C2554" t="s">
        <v>8191</v>
      </c>
      <c r="D2554" t="s">
        <v>8192</v>
      </c>
      <c r="E2554" t="s">
        <v>313</v>
      </c>
      <c r="F2554" t="s">
        <v>24</v>
      </c>
      <c r="G2554" t="s">
        <v>12</v>
      </c>
      <c r="H2554">
        <f>16804*(1.01^10)</f>
        <v>18562.070195409884</v>
      </c>
      <c r="I2554">
        <f>85319*(1.01^10)</f>
        <v>94245.255117958572</v>
      </c>
      <c r="J2554" t="s">
        <v>8193</v>
      </c>
      <c r="K2554">
        <f t="shared" si="39"/>
        <v>379.23503467104541</v>
      </c>
    </row>
    <row r="2555" spans="1:11" x14ac:dyDescent="0.2">
      <c r="A2555" t="s">
        <v>422</v>
      </c>
      <c r="B2555" t="s">
        <v>2079</v>
      </c>
      <c r="C2555" t="s">
        <v>8194</v>
      </c>
      <c r="D2555" t="s">
        <v>8195</v>
      </c>
      <c r="E2555" t="s">
        <v>374</v>
      </c>
      <c r="F2555" t="s">
        <v>24</v>
      </c>
      <c r="G2555" t="s">
        <v>24</v>
      </c>
      <c r="H2555">
        <f>9939*(1.01^10)</f>
        <v>10978.839304461964</v>
      </c>
      <c r="I2555">
        <f>50821*(1.01^10)</f>
        <v>56138.001035522837</v>
      </c>
      <c r="J2555" t="s">
        <v>8196</v>
      </c>
      <c r="K2555">
        <f t="shared" si="39"/>
        <v>306.96850238859548</v>
      </c>
    </row>
    <row r="2556" spans="1:11" x14ac:dyDescent="0.2">
      <c r="A2556" t="s">
        <v>422</v>
      </c>
      <c r="B2556" t="s">
        <v>2079</v>
      </c>
      <c r="C2556" t="s">
        <v>8197</v>
      </c>
      <c r="D2556" t="s">
        <v>7418</v>
      </c>
      <c r="E2556" t="s">
        <v>1054</v>
      </c>
      <c r="F2556" t="s">
        <v>411</v>
      </c>
      <c r="G2556" t="s">
        <v>24</v>
      </c>
      <c r="H2556">
        <f>14890*(1.01^10)</f>
        <v>16447.823447372837</v>
      </c>
      <c r="I2556">
        <f>81521*(1.01^10)</f>
        <v>90049.900285646829</v>
      </c>
      <c r="J2556" t="s">
        <v>8198</v>
      </c>
      <c r="K2556">
        <f t="shared" si="39"/>
        <v>472.21970976209531</v>
      </c>
    </row>
    <row r="2557" spans="1:11" x14ac:dyDescent="0.2">
      <c r="A2557" t="s">
        <v>422</v>
      </c>
      <c r="B2557" t="s">
        <v>2079</v>
      </c>
      <c r="C2557" t="s">
        <v>8199</v>
      </c>
      <c r="D2557" t="s">
        <v>8200</v>
      </c>
      <c r="E2557" t="s">
        <v>176</v>
      </c>
      <c r="F2557" t="s">
        <v>92</v>
      </c>
      <c r="G2557" t="s">
        <v>12</v>
      </c>
      <c r="H2557">
        <f>13157*(1.01^10)</f>
        <v>14533.513304035221</v>
      </c>
      <c r="I2557">
        <f>70935*(1.01^10)</f>
        <v>78356.370466043809</v>
      </c>
      <c r="J2557" t="s">
        <v>8201</v>
      </c>
      <c r="K2557">
        <f t="shared" si="39"/>
        <v>579.20280700439446</v>
      </c>
    </row>
    <row r="2558" spans="1:11" x14ac:dyDescent="0.2">
      <c r="A2558" t="s">
        <v>422</v>
      </c>
      <c r="B2558" t="s">
        <v>2079</v>
      </c>
      <c r="C2558" t="s">
        <v>8202</v>
      </c>
      <c r="D2558" t="s">
        <v>8203</v>
      </c>
      <c r="E2558" t="s">
        <v>796</v>
      </c>
      <c r="F2558" t="s">
        <v>24</v>
      </c>
      <c r="G2558" t="s">
        <v>24</v>
      </c>
      <c r="H2558">
        <f>7047*(1.01^10)</f>
        <v>7784.2721177727599</v>
      </c>
      <c r="I2558">
        <f>37930*(1.01^10)</f>
        <v>41898.317216846997</v>
      </c>
      <c r="J2558" t="s">
        <v>8204</v>
      </c>
      <c r="K2558">
        <f t="shared" si="39"/>
        <v>472.86805605423496</v>
      </c>
    </row>
    <row r="2559" spans="1:11" x14ac:dyDescent="0.2">
      <c r="A2559" t="s">
        <v>422</v>
      </c>
      <c r="B2559" t="s">
        <v>2079</v>
      </c>
      <c r="C2559" t="s">
        <v>8205</v>
      </c>
      <c r="D2559" t="s">
        <v>8206</v>
      </c>
      <c r="E2559" t="s">
        <v>142</v>
      </c>
      <c r="F2559" t="s">
        <v>12</v>
      </c>
      <c r="G2559" t="s">
        <v>24</v>
      </c>
      <c r="H2559">
        <f>13345*(1.01^10)</f>
        <v>14741.182263612527</v>
      </c>
      <c r="I2559">
        <f>70584*(1.01^10)</f>
        <v>77968.648100024482</v>
      </c>
      <c r="J2559" t="s">
        <v>8207</v>
      </c>
      <c r="K2559">
        <f t="shared" si="39"/>
        <v>643.78521682750977</v>
      </c>
    </row>
    <row r="2560" spans="1:11" x14ac:dyDescent="0.2">
      <c r="A2560" t="s">
        <v>422</v>
      </c>
      <c r="B2560" t="s">
        <v>2079</v>
      </c>
      <c r="C2560" t="s">
        <v>8208</v>
      </c>
      <c r="D2560" t="s">
        <v>8209</v>
      </c>
      <c r="E2560" t="s">
        <v>220</v>
      </c>
      <c r="F2560" t="s">
        <v>24</v>
      </c>
      <c r="G2560" t="s">
        <v>24</v>
      </c>
      <c r="H2560">
        <f>6187*(1.01^10)</f>
        <v>6834.2970899191241</v>
      </c>
      <c r="I2560">
        <f>32242*(1.01^10)</f>
        <v>35615.226567508063</v>
      </c>
      <c r="J2560" t="s">
        <v>8210</v>
      </c>
      <c r="K2560">
        <f t="shared" si="39"/>
        <v>368.13902516122283</v>
      </c>
    </row>
    <row r="2561" spans="1:11" x14ac:dyDescent="0.2">
      <c r="A2561" t="s">
        <v>422</v>
      </c>
      <c r="B2561" t="s">
        <v>2079</v>
      </c>
      <c r="C2561" t="s">
        <v>8211</v>
      </c>
      <c r="D2561" t="s">
        <v>8212</v>
      </c>
      <c r="E2561" t="s">
        <v>542</v>
      </c>
      <c r="F2561" t="s">
        <v>5</v>
      </c>
      <c r="G2561" t="s">
        <v>24</v>
      </c>
      <c r="H2561">
        <f>19347*(1.01^10)</f>
        <v>21371.12426033058</v>
      </c>
      <c r="I2561">
        <f>102772*(1.01^10)</f>
        <v>113524.22507276034</v>
      </c>
      <c r="J2561" t="s">
        <v>8213</v>
      </c>
      <c r="K2561">
        <f t="shared" si="39"/>
        <v>575.26082274410123</v>
      </c>
    </row>
    <row r="2562" spans="1:11" x14ac:dyDescent="0.2">
      <c r="A2562" t="s">
        <v>422</v>
      </c>
      <c r="B2562" t="s">
        <v>2079</v>
      </c>
      <c r="C2562" t="s">
        <v>8214</v>
      </c>
      <c r="D2562" t="s">
        <v>8215</v>
      </c>
      <c r="E2562" t="s">
        <v>56</v>
      </c>
      <c r="F2562" t="s">
        <v>24</v>
      </c>
      <c r="G2562" t="s">
        <v>24</v>
      </c>
      <c r="H2562">
        <f>10616*(1.01^10)</f>
        <v>11726.668483365349</v>
      </c>
      <c r="I2562">
        <f>55469*(1.01^10)</f>
        <v>61272.284674434115</v>
      </c>
      <c r="J2562" t="s">
        <v>8216</v>
      </c>
      <c r="K2562">
        <f t="shared" si="39"/>
        <v>261.6528676161094</v>
      </c>
    </row>
    <row r="2563" spans="1:11" x14ac:dyDescent="0.2">
      <c r="A2563" t="s">
        <v>422</v>
      </c>
      <c r="B2563" t="s">
        <v>2079</v>
      </c>
      <c r="C2563" t="s">
        <v>8217</v>
      </c>
      <c r="D2563" t="s">
        <v>8218</v>
      </c>
      <c r="E2563" t="s">
        <v>44</v>
      </c>
      <c r="F2563" t="s">
        <v>12</v>
      </c>
      <c r="G2563" t="s">
        <v>24</v>
      </c>
      <c r="H2563">
        <f>5892*(1.01^10)</f>
        <v>6508.4335629228181</v>
      </c>
      <c r="I2563">
        <f>30396*(1.01^10)</f>
        <v>33576.094123998977</v>
      </c>
      <c r="J2563" t="s">
        <v>8219</v>
      </c>
      <c r="K2563">
        <f t="shared" ref="K2563:K2626" si="40">I2563/J2563</f>
        <v>316.60485646497898</v>
      </c>
    </row>
    <row r="2564" spans="1:11" x14ac:dyDescent="0.2">
      <c r="A2564" t="s">
        <v>422</v>
      </c>
      <c r="B2564" t="s">
        <v>2079</v>
      </c>
      <c r="C2564" t="s">
        <v>8220</v>
      </c>
      <c r="D2564" t="s">
        <v>8221</v>
      </c>
      <c r="E2564" t="s">
        <v>56</v>
      </c>
      <c r="F2564" t="s">
        <v>24</v>
      </c>
      <c r="G2564" t="s">
        <v>24</v>
      </c>
      <c r="H2564">
        <f>12300*(1.01^10)</f>
        <v>13586.852142557818</v>
      </c>
      <c r="I2564">
        <f>63665*(1.01^10)</f>
        <v>70325.76761430435</v>
      </c>
      <c r="J2564" t="s">
        <v>8222</v>
      </c>
      <c r="K2564">
        <f t="shared" si="40"/>
        <v>501.19285978977501</v>
      </c>
    </row>
    <row r="2565" spans="1:11" x14ac:dyDescent="0.2">
      <c r="A2565" t="s">
        <v>422</v>
      </c>
      <c r="B2565" t="s">
        <v>2079</v>
      </c>
      <c r="C2565" t="s">
        <v>8223</v>
      </c>
      <c r="D2565" t="s">
        <v>8224</v>
      </c>
      <c r="E2565" t="s">
        <v>1656</v>
      </c>
      <c r="F2565" t="s">
        <v>12</v>
      </c>
      <c r="G2565" t="s">
        <v>24</v>
      </c>
      <c r="H2565">
        <f>7669*(1.01^10)</f>
        <v>8471.3470797785285</v>
      </c>
      <c r="I2565">
        <f>38833*(1.01^10)</f>
        <v>42895.790996093318</v>
      </c>
      <c r="J2565" t="s">
        <v>8225</v>
      </c>
      <c r="K2565">
        <f t="shared" si="40"/>
        <v>152.72294620008677</v>
      </c>
    </row>
    <row r="2566" spans="1:11" x14ac:dyDescent="0.2">
      <c r="A2566" t="s">
        <v>422</v>
      </c>
      <c r="B2566" t="s">
        <v>2079</v>
      </c>
      <c r="C2566" t="s">
        <v>8226</v>
      </c>
      <c r="D2566" t="s">
        <v>8227</v>
      </c>
      <c r="E2566" t="s">
        <v>1589</v>
      </c>
      <c r="F2566" t="s">
        <v>17</v>
      </c>
      <c r="G2566" t="s">
        <v>24</v>
      </c>
      <c r="H2566">
        <f>24906*(1.01^10)</f>
        <v>27511.718655491466</v>
      </c>
      <c r="I2566">
        <f>130308*(1.01^10)</f>
        <v>143941.09991808326</v>
      </c>
      <c r="J2566" t="s">
        <v>8228</v>
      </c>
      <c r="K2566">
        <f t="shared" si="40"/>
        <v>529.34881365046431</v>
      </c>
    </row>
    <row r="2567" spans="1:11" x14ac:dyDescent="0.2">
      <c r="A2567" t="s">
        <v>422</v>
      </c>
      <c r="B2567" t="s">
        <v>2079</v>
      </c>
      <c r="C2567" t="s">
        <v>8229</v>
      </c>
      <c r="D2567" t="s">
        <v>8230</v>
      </c>
      <c r="E2567" t="s">
        <v>315</v>
      </c>
      <c r="F2567" t="s">
        <v>158</v>
      </c>
      <c r="G2567" t="s">
        <v>12</v>
      </c>
      <c r="H2567">
        <f>39258*(1.01^10)</f>
        <v>43365.255399393078</v>
      </c>
      <c r="I2567">
        <f>201627*(1.01^10)</f>
        <v>222721.64528028498</v>
      </c>
      <c r="J2567" t="s">
        <v>8231</v>
      </c>
      <c r="K2567">
        <f t="shared" si="40"/>
        <v>862.85135230629953</v>
      </c>
    </row>
    <row r="2568" spans="1:11" x14ac:dyDescent="0.2">
      <c r="A2568" t="s">
        <v>422</v>
      </c>
      <c r="B2568" t="s">
        <v>2079</v>
      </c>
      <c r="C2568" t="s">
        <v>8232</v>
      </c>
      <c r="D2568" t="s">
        <v>8233</v>
      </c>
      <c r="E2568" t="s">
        <v>6</v>
      </c>
      <c r="F2568" t="s">
        <v>24</v>
      </c>
      <c r="G2568" t="s">
        <v>24</v>
      </c>
      <c r="H2568">
        <f>3521*(1.01^10)</f>
        <v>3889.3745035728521</v>
      </c>
      <c r="I2568">
        <f>17856*(1.01^10)</f>
        <v>19724.132671342471</v>
      </c>
      <c r="J2568" t="s">
        <v>8234</v>
      </c>
      <c r="K2568">
        <f t="shared" si="40"/>
        <v>624.83182073862088</v>
      </c>
    </row>
    <row r="2569" spans="1:11" x14ac:dyDescent="0.2">
      <c r="A2569" t="s">
        <v>422</v>
      </c>
      <c r="B2569" t="s">
        <v>2079</v>
      </c>
      <c r="C2569" t="s">
        <v>8235</v>
      </c>
      <c r="D2569" t="s">
        <v>8236</v>
      </c>
      <c r="E2569" t="s">
        <v>394</v>
      </c>
      <c r="F2569" t="s">
        <v>11</v>
      </c>
      <c r="G2569" t="s">
        <v>24</v>
      </c>
      <c r="H2569">
        <f>17845*(1.01^10)</f>
        <v>19711.981827962947</v>
      </c>
      <c r="I2569">
        <f>90483*(1.01^10)</f>
        <v>99949.523773582041</v>
      </c>
      <c r="J2569" t="s">
        <v>8237</v>
      </c>
      <c r="K2569">
        <f t="shared" si="40"/>
        <v>223.20822520656861</v>
      </c>
    </row>
    <row r="2570" spans="1:11" x14ac:dyDescent="0.2">
      <c r="A2570" t="s">
        <v>422</v>
      </c>
      <c r="B2570" t="s">
        <v>2079</v>
      </c>
      <c r="C2570" t="s">
        <v>8238</v>
      </c>
      <c r="D2570" t="s">
        <v>8239</v>
      </c>
      <c r="E2570" t="s">
        <v>103</v>
      </c>
      <c r="F2570" t="s">
        <v>12</v>
      </c>
      <c r="G2570" t="s">
        <v>24</v>
      </c>
      <c r="H2570">
        <f>8232*(1.01^10)</f>
        <v>9093.2493363850372</v>
      </c>
      <c r="I2570">
        <f>44452*(1.01^10)</f>
        <v>49102.662718778876</v>
      </c>
      <c r="J2570" t="s">
        <v>8240</v>
      </c>
      <c r="K2570">
        <f t="shared" si="40"/>
        <v>226.10673914738851</v>
      </c>
    </row>
    <row r="2571" spans="1:11" x14ac:dyDescent="0.2">
      <c r="A2571" t="s">
        <v>422</v>
      </c>
      <c r="B2571" t="s">
        <v>2079</v>
      </c>
      <c r="C2571" t="s">
        <v>8241</v>
      </c>
      <c r="D2571" t="s">
        <v>8242</v>
      </c>
      <c r="E2571" t="s">
        <v>1589</v>
      </c>
      <c r="F2571" t="s">
        <v>11</v>
      </c>
      <c r="G2571" t="s">
        <v>24</v>
      </c>
      <c r="H2571">
        <f>13146*(1.01^10)</f>
        <v>14521.362460655697</v>
      </c>
      <c r="I2571">
        <f>66092*(1.01^10)</f>
        <v>73006.685512677344</v>
      </c>
      <c r="J2571" t="s">
        <v>8243</v>
      </c>
      <c r="K2571">
        <f t="shared" si="40"/>
        <v>105.35404173854242</v>
      </c>
    </row>
    <row r="2572" spans="1:11" x14ac:dyDescent="0.2">
      <c r="A2572" t="s">
        <v>422</v>
      </c>
      <c r="B2572" t="s">
        <v>1650</v>
      </c>
      <c r="C2572" t="s">
        <v>8244</v>
      </c>
      <c r="D2572" t="s">
        <v>8245</v>
      </c>
      <c r="E2572" t="s">
        <v>636</v>
      </c>
      <c r="F2572" t="s">
        <v>422</v>
      </c>
      <c r="G2572" t="s">
        <v>24</v>
      </c>
      <c r="H2572">
        <f>31534*(1.01^10)</f>
        <v>34833.15410271693</v>
      </c>
      <c r="I2572">
        <f>187590*(1.01^10)</f>
        <v>207216.06450588789</v>
      </c>
      <c r="J2572" t="s">
        <v>8246</v>
      </c>
      <c r="K2572">
        <f t="shared" si="40"/>
        <v>430.44913553736632</v>
      </c>
    </row>
    <row r="2573" spans="1:11" x14ac:dyDescent="0.2">
      <c r="A2573" t="s">
        <v>422</v>
      </c>
      <c r="B2573" t="s">
        <v>1650</v>
      </c>
      <c r="C2573" t="s">
        <v>8247</v>
      </c>
      <c r="D2573" t="s">
        <v>8248</v>
      </c>
      <c r="E2573" t="s">
        <v>809</v>
      </c>
      <c r="F2573" t="s">
        <v>92</v>
      </c>
      <c r="G2573" t="s">
        <v>24</v>
      </c>
      <c r="H2573">
        <f>21055*(1.01^10)</f>
        <v>23257.818850532916</v>
      </c>
      <c r="I2573">
        <f>120221*(1.01^10)</f>
        <v>132798.77653906043</v>
      </c>
      <c r="J2573" t="s">
        <v>8249</v>
      </c>
      <c r="K2573">
        <f t="shared" si="40"/>
        <v>386.25643021734527</v>
      </c>
    </row>
    <row r="2574" spans="1:11" x14ac:dyDescent="0.2">
      <c r="A2574" t="s">
        <v>422</v>
      </c>
      <c r="B2574" t="s">
        <v>1650</v>
      </c>
      <c r="C2574" t="s">
        <v>8250</v>
      </c>
      <c r="D2574" t="s">
        <v>3272</v>
      </c>
      <c r="E2574" t="s">
        <v>1054</v>
      </c>
      <c r="F2574" t="s">
        <v>17</v>
      </c>
      <c r="G2574" t="s">
        <v>24</v>
      </c>
      <c r="H2574">
        <f>5782*(1.01^10)</f>
        <v>6386.9251291275859</v>
      </c>
      <c r="I2574">
        <f>30018*(1.01^10)</f>
        <v>33158.546960593543</v>
      </c>
      <c r="J2574" t="s">
        <v>8251</v>
      </c>
      <c r="K2574">
        <f t="shared" si="40"/>
        <v>103.18250194689132</v>
      </c>
    </row>
    <row r="2575" spans="1:11" x14ac:dyDescent="0.2">
      <c r="A2575" t="s">
        <v>422</v>
      </c>
      <c r="B2575" t="s">
        <v>1650</v>
      </c>
      <c r="C2575" t="s">
        <v>8252</v>
      </c>
      <c r="D2575" t="s">
        <v>8253</v>
      </c>
      <c r="E2575" t="s">
        <v>611</v>
      </c>
      <c r="F2575" t="s">
        <v>158</v>
      </c>
      <c r="G2575" t="s">
        <v>24</v>
      </c>
      <c r="H2575">
        <f>9233*(1.01^10)</f>
        <v>10198.976083921654</v>
      </c>
      <c r="I2575">
        <f>50553*(1.01^10)</f>
        <v>55841.962305912632</v>
      </c>
      <c r="J2575" t="s">
        <v>8254</v>
      </c>
      <c r="K2575">
        <f t="shared" si="40"/>
        <v>162.79763035050425</v>
      </c>
    </row>
    <row r="2576" spans="1:11" x14ac:dyDescent="0.2">
      <c r="A2576" t="s">
        <v>422</v>
      </c>
      <c r="B2576" t="s">
        <v>1650</v>
      </c>
      <c r="C2576" t="s">
        <v>8255</v>
      </c>
      <c r="D2576" t="s">
        <v>8256</v>
      </c>
      <c r="E2576" t="s">
        <v>806</v>
      </c>
      <c r="F2576" t="s">
        <v>274</v>
      </c>
      <c r="G2576" t="s">
        <v>12</v>
      </c>
      <c r="H2576">
        <f>25797*(1.01^10)</f>
        <v>28495.936969232847</v>
      </c>
      <c r="I2576">
        <f>150999*(1.01^10)</f>
        <v>166796.83631496649</v>
      </c>
      <c r="J2576" t="s">
        <v>8257</v>
      </c>
      <c r="K2576">
        <f t="shared" si="40"/>
        <v>365.51546627701885</v>
      </c>
    </row>
    <row r="2577" spans="1:11" x14ac:dyDescent="0.2">
      <c r="A2577" t="s">
        <v>422</v>
      </c>
      <c r="B2577" t="s">
        <v>1650</v>
      </c>
      <c r="C2577" t="s">
        <v>8258</v>
      </c>
      <c r="D2577" t="s">
        <v>8259</v>
      </c>
      <c r="E2577" t="s">
        <v>839</v>
      </c>
      <c r="F2577" t="s">
        <v>6</v>
      </c>
      <c r="G2577" t="s">
        <v>24</v>
      </c>
      <c r="H2577">
        <f>10756*(1.01^10)</f>
        <v>11881.315580922917</v>
      </c>
      <c r="I2577">
        <f>63012*(1.01^10)</f>
        <v>69604.44936641083</v>
      </c>
      <c r="J2577" t="s">
        <v>8260</v>
      </c>
      <c r="K2577">
        <f t="shared" si="40"/>
        <v>352.70615697226043</v>
      </c>
    </row>
    <row r="2578" spans="1:11" x14ac:dyDescent="0.2">
      <c r="A2578" t="s">
        <v>422</v>
      </c>
      <c r="B2578" t="s">
        <v>1650</v>
      </c>
      <c r="C2578" t="s">
        <v>8261</v>
      </c>
      <c r="D2578" t="s">
        <v>8262</v>
      </c>
      <c r="E2578" t="s">
        <v>771</v>
      </c>
      <c r="F2578" t="s">
        <v>796</v>
      </c>
      <c r="G2578" t="s">
        <v>24</v>
      </c>
      <c r="H2578">
        <f>12373*(1.01^10)</f>
        <v>13667.489557712835</v>
      </c>
      <c r="I2578">
        <f>74929*(1.01^10)</f>
        <v>82768.23123493616</v>
      </c>
      <c r="J2578" t="s">
        <v>8263</v>
      </c>
      <c r="K2578">
        <f t="shared" si="40"/>
        <v>482.24903291320601</v>
      </c>
    </row>
    <row r="2579" spans="1:11" x14ac:dyDescent="0.2">
      <c r="A2579" t="s">
        <v>422</v>
      </c>
      <c r="B2579" t="s">
        <v>1650</v>
      </c>
      <c r="C2579" t="s">
        <v>8264</v>
      </c>
      <c r="D2579" t="s">
        <v>8265</v>
      </c>
      <c r="E2579" t="s">
        <v>1944</v>
      </c>
      <c r="F2579" t="s">
        <v>405</v>
      </c>
      <c r="G2579" t="s">
        <v>24</v>
      </c>
      <c r="H2579">
        <f>10235*(1.01^10)</f>
        <v>11305.80745358368</v>
      </c>
      <c r="I2579">
        <f>58925*(1.01^10)</f>
        <v>65089.858739855241</v>
      </c>
      <c r="J2579" t="s">
        <v>8266</v>
      </c>
      <c r="K2579">
        <f t="shared" si="40"/>
        <v>609.26208074906253</v>
      </c>
    </row>
    <row r="2580" spans="1:11" x14ac:dyDescent="0.2">
      <c r="A2580" t="s">
        <v>422</v>
      </c>
      <c r="B2580" t="s">
        <v>1650</v>
      </c>
      <c r="C2580" t="s">
        <v>8267</v>
      </c>
      <c r="D2580" t="s">
        <v>5277</v>
      </c>
      <c r="E2580" t="s">
        <v>142</v>
      </c>
      <c r="F2580" t="s">
        <v>24</v>
      </c>
      <c r="G2580" t="s">
        <v>24</v>
      </c>
      <c r="H2580">
        <f>6930*(1.01^10)</f>
        <v>7655.0313290996492</v>
      </c>
      <c r="I2580">
        <f>40919*(1.01^10)</f>
        <v>45200.032749701088</v>
      </c>
      <c r="J2580" t="s">
        <v>8268</v>
      </c>
      <c r="K2580">
        <f t="shared" si="40"/>
        <v>247.06595604034186</v>
      </c>
    </row>
    <row r="2581" spans="1:11" x14ac:dyDescent="0.2">
      <c r="A2581" t="s">
        <v>422</v>
      </c>
      <c r="B2581" t="s">
        <v>1650</v>
      </c>
      <c r="C2581" t="s">
        <v>8269</v>
      </c>
      <c r="D2581" t="s">
        <v>8270</v>
      </c>
      <c r="E2581" t="s">
        <v>1656</v>
      </c>
      <c r="F2581" t="s">
        <v>24</v>
      </c>
      <c r="G2581" t="s">
        <v>24</v>
      </c>
      <c r="H2581">
        <f>5701*(1.01^10)</f>
        <v>6297.4507369692783</v>
      </c>
      <c r="I2581">
        <f>31530*(1.01^10)</f>
        <v>34828.735614215286</v>
      </c>
      <c r="J2581" t="s">
        <v>8271</v>
      </c>
      <c r="K2581">
        <f t="shared" si="40"/>
        <v>253.8769200223891</v>
      </c>
    </row>
    <row r="2582" spans="1:11" x14ac:dyDescent="0.2">
      <c r="A2582" t="s">
        <v>422</v>
      </c>
      <c r="B2582" t="s">
        <v>1650</v>
      </c>
      <c r="C2582" t="s">
        <v>8272</v>
      </c>
      <c r="D2582" t="s">
        <v>8273</v>
      </c>
      <c r="E2582" t="s">
        <v>36</v>
      </c>
      <c r="F2582" t="s">
        <v>92</v>
      </c>
      <c r="G2582" t="s">
        <v>24</v>
      </c>
      <c r="H2582">
        <f>19556*(1.01^10)</f>
        <v>21601.99028454152</v>
      </c>
      <c r="I2582">
        <f>107871*(1.01^10)</f>
        <v>119156.69329023207</v>
      </c>
      <c r="J2582" t="s">
        <v>8274</v>
      </c>
      <c r="K2582">
        <f t="shared" si="40"/>
        <v>218.28581454529137</v>
      </c>
    </row>
    <row r="2583" spans="1:11" x14ac:dyDescent="0.2">
      <c r="A2583" t="s">
        <v>422</v>
      </c>
      <c r="B2583" t="s">
        <v>1650</v>
      </c>
      <c r="C2583" t="s">
        <v>8275</v>
      </c>
      <c r="D2583" t="s">
        <v>8276</v>
      </c>
      <c r="E2583" t="s">
        <v>1060</v>
      </c>
      <c r="F2583" t="s">
        <v>17</v>
      </c>
      <c r="G2583" t="s">
        <v>12</v>
      </c>
      <c r="H2583">
        <f>23319*(1.01^10)</f>
        <v>25758.683342463883</v>
      </c>
      <c r="I2583">
        <f>126319*(1.01^10)</f>
        <v>139534.76225981797</v>
      </c>
      <c r="J2583" t="s">
        <v>8277</v>
      </c>
      <c r="K2583">
        <f t="shared" si="40"/>
        <v>324.29419914115243</v>
      </c>
    </row>
    <row r="2584" spans="1:11" x14ac:dyDescent="0.2">
      <c r="A2584" t="s">
        <v>422</v>
      </c>
      <c r="B2584" t="s">
        <v>2579</v>
      </c>
      <c r="C2584" t="s">
        <v>8278</v>
      </c>
      <c r="D2584" t="s">
        <v>8279</v>
      </c>
      <c r="E2584" t="s">
        <v>503</v>
      </c>
      <c r="F2584" t="s">
        <v>374</v>
      </c>
      <c r="G2584" t="s">
        <v>24</v>
      </c>
      <c r="H2584">
        <f>12012*(1.01^10)</f>
        <v>13268.720970439392</v>
      </c>
      <c r="I2584">
        <f>74520*(1.01^10)</f>
        <v>82316.440785642975</v>
      </c>
      <c r="J2584" t="s">
        <v>8280</v>
      </c>
      <c r="K2584">
        <f t="shared" si="40"/>
        <v>169.4777939123326</v>
      </c>
    </row>
    <row r="2585" spans="1:11" x14ac:dyDescent="0.2">
      <c r="A2585" t="s">
        <v>422</v>
      </c>
      <c r="B2585" t="s">
        <v>2579</v>
      </c>
      <c r="C2585" t="s">
        <v>8281</v>
      </c>
      <c r="D2585" t="s">
        <v>8282</v>
      </c>
      <c r="E2585" t="s">
        <v>1054</v>
      </c>
      <c r="F2585" t="s">
        <v>445</v>
      </c>
      <c r="G2585" t="s">
        <v>5</v>
      </c>
      <c r="H2585">
        <f>34926*(1.01^10)</f>
        <v>38580.032352111739</v>
      </c>
      <c r="I2585">
        <f>205740*(1.01^10)</f>
        <v>227264.95608210127</v>
      </c>
      <c r="J2585" t="s">
        <v>8283</v>
      </c>
      <c r="K2585">
        <f t="shared" si="40"/>
        <v>414.62620551139219</v>
      </c>
    </row>
    <row r="2586" spans="1:11" x14ac:dyDescent="0.2">
      <c r="A2586" t="s">
        <v>422</v>
      </c>
      <c r="B2586" t="s">
        <v>2579</v>
      </c>
      <c r="C2586" t="s">
        <v>8284</v>
      </c>
      <c r="D2586" t="s">
        <v>8285</v>
      </c>
      <c r="E2586" t="s">
        <v>368</v>
      </c>
      <c r="F2586" t="s">
        <v>220</v>
      </c>
      <c r="G2586" t="s">
        <v>12</v>
      </c>
      <c r="H2586">
        <f>20871*(1.01^10)</f>
        <v>23054.568379457254</v>
      </c>
      <c r="I2586">
        <f>125387*(1.01^10)</f>
        <v>138505.25443893473</v>
      </c>
      <c r="J2586" t="s">
        <v>8286</v>
      </c>
      <c r="K2586">
        <f t="shared" si="40"/>
        <v>324.63535477286354</v>
      </c>
    </row>
    <row r="2587" spans="1:11" x14ac:dyDescent="0.2">
      <c r="A2587" t="s">
        <v>422</v>
      </c>
      <c r="B2587" t="s">
        <v>2579</v>
      </c>
      <c r="C2587" t="s">
        <v>8287</v>
      </c>
      <c r="D2587" t="s">
        <v>3916</v>
      </c>
      <c r="E2587" t="s">
        <v>436</v>
      </c>
      <c r="F2587" t="s">
        <v>61</v>
      </c>
      <c r="G2587" t="s">
        <v>24</v>
      </c>
      <c r="H2587">
        <f>20088*(1.01^10)</f>
        <v>22189.649255260279</v>
      </c>
      <c r="I2587">
        <f>131279*(1.01^10)</f>
        <v>145013.68800185755</v>
      </c>
      <c r="J2587" t="s">
        <v>8288</v>
      </c>
      <c r="K2587">
        <f t="shared" si="40"/>
        <v>573.07770635846725</v>
      </c>
    </row>
    <row r="2588" spans="1:11" x14ac:dyDescent="0.2">
      <c r="A2588" t="s">
        <v>422</v>
      </c>
      <c r="B2588" t="s">
        <v>2579</v>
      </c>
      <c r="C2588" t="s">
        <v>8289</v>
      </c>
      <c r="D2588" t="s">
        <v>8290</v>
      </c>
      <c r="E2588" t="s">
        <v>1589</v>
      </c>
      <c r="F2588" t="s">
        <v>458</v>
      </c>
      <c r="G2588" t="s">
        <v>24</v>
      </c>
      <c r="H2588">
        <f>13629*(1.01^10)</f>
        <v>15054.89494722931</v>
      </c>
      <c r="I2588">
        <f>84914*(1.01^10)</f>
        <v>93797.883157167045</v>
      </c>
      <c r="J2588" t="s">
        <v>8291</v>
      </c>
      <c r="K2588">
        <f t="shared" si="40"/>
        <v>230.05596336321184</v>
      </c>
    </row>
    <row r="2589" spans="1:11" x14ac:dyDescent="0.2">
      <c r="A2589" t="s">
        <v>422</v>
      </c>
      <c r="B2589" t="s">
        <v>2579</v>
      </c>
      <c r="C2589" t="s">
        <v>8292</v>
      </c>
      <c r="D2589" t="s">
        <v>8293</v>
      </c>
      <c r="E2589" t="s">
        <v>977</v>
      </c>
      <c r="F2589" t="s">
        <v>152</v>
      </c>
      <c r="G2589" t="s">
        <v>24</v>
      </c>
      <c r="H2589">
        <f>14629*(1.01^10)</f>
        <v>16159.517072640514</v>
      </c>
      <c r="I2589">
        <f>94419*(1.01^10)</f>
        <v>104297.31645920053</v>
      </c>
      <c r="J2589" t="s">
        <v>8294</v>
      </c>
      <c r="K2589">
        <f t="shared" si="40"/>
        <v>249.0601928007251</v>
      </c>
    </row>
    <row r="2590" spans="1:11" x14ac:dyDescent="0.2">
      <c r="A2590" t="s">
        <v>422</v>
      </c>
      <c r="B2590" t="s">
        <v>1039</v>
      </c>
      <c r="C2590" t="s">
        <v>8295</v>
      </c>
      <c r="D2590" t="s">
        <v>8296</v>
      </c>
      <c r="E2590" t="s">
        <v>771</v>
      </c>
      <c r="F2590" t="s">
        <v>61</v>
      </c>
      <c r="G2590" t="s">
        <v>24</v>
      </c>
      <c r="H2590">
        <f>18227*(1.01^10)</f>
        <v>20133.947479870028</v>
      </c>
      <c r="I2590">
        <f>115962*(1.01^10)</f>
        <v>128094.19090693412</v>
      </c>
      <c r="J2590" t="s">
        <v>8297</v>
      </c>
      <c r="K2590">
        <f t="shared" si="40"/>
        <v>397.41337544405428</v>
      </c>
    </row>
    <row r="2591" spans="1:11" x14ac:dyDescent="0.2">
      <c r="A2591" t="s">
        <v>422</v>
      </c>
      <c r="B2591" t="s">
        <v>1039</v>
      </c>
      <c r="C2591" t="s">
        <v>8298</v>
      </c>
      <c r="D2591" t="s">
        <v>8299</v>
      </c>
      <c r="E2591" t="s">
        <v>971</v>
      </c>
      <c r="F2591" t="s">
        <v>220</v>
      </c>
      <c r="G2591" t="s">
        <v>24</v>
      </c>
      <c r="H2591">
        <f>16125*(1.01^10)</f>
        <v>17812.031772255676</v>
      </c>
      <c r="I2591">
        <f>95081*(1.01^10)</f>
        <v>105028.57630622276</v>
      </c>
      <c r="J2591" t="s">
        <v>8300</v>
      </c>
      <c r="K2591">
        <f t="shared" si="40"/>
        <v>231.17608524565736</v>
      </c>
    </row>
    <row r="2592" spans="1:11" x14ac:dyDescent="0.2">
      <c r="A2592" t="s">
        <v>422</v>
      </c>
      <c r="B2592" t="s">
        <v>1039</v>
      </c>
      <c r="C2592" t="s">
        <v>8301</v>
      </c>
      <c r="D2592" t="s">
        <v>8302</v>
      </c>
      <c r="E2592" t="s">
        <v>3676</v>
      </c>
      <c r="F2592" t="s">
        <v>520</v>
      </c>
      <c r="G2592" t="s">
        <v>24</v>
      </c>
      <c r="H2592">
        <f>29713*(1.01^10)</f>
        <v>32821.637212343128</v>
      </c>
      <c r="I2592">
        <f>182527*(1.01^10)</f>
        <v>201623.36268493097</v>
      </c>
      <c r="J2592" t="s">
        <v>8303</v>
      </c>
      <c r="K2592">
        <f t="shared" si="40"/>
        <v>456.38522824360678</v>
      </c>
    </row>
    <row r="2593" spans="1:11" x14ac:dyDescent="0.2">
      <c r="A2593" t="s">
        <v>422</v>
      </c>
      <c r="B2593" t="s">
        <v>1039</v>
      </c>
      <c r="C2593" t="s">
        <v>8304</v>
      </c>
      <c r="D2593" t="s">
        <v>8305</v>
      </c>
      <c r="E2593" t="s">
        <v>1658</v>
      </c>
      <c r="F2593" t="s">
        <v>445</v>
      </c>
      <c r="G2593" t="s">
        <v>12</v>
      </c>
      <c r="H2593">
        <f>40355*(1.01^10)</f>
        <v>44577.02587096917</v>
      </c>
      <c r="I2593">
        <f>267352*(1.01^10)</f>
        <v>295322.93447293644</v>
      </c>
      <c r="J2593" t="s">
        <v>8306</v>
      </c>
      <c r="K2593">
        <f t="shared" si="40"/>
        <v>851.34500273374294</v>
      </c>
    </row>
    <row r="2594" spans="1:11" x14ac:dyDescent="0.2">
      <c r="A2594" t="s">
        <v>422</v>
      </c>
      <c r="B2594" t="s">
        <v>1039</v>
      </c>
      <c r="C2594" t="s">
        <v>8307</v>
      </c>
      <c r="D2594" t="s">
        <v>8308</v>
      </c>
      <c r="E2594" t="s">
        <v>63</v>
      </c>
      <c r="F2594" t="s">
        <v>405</v>
      </c>
      <c r="G2594" t="s">
        <v>24</v>
      </c>
      <c r="H2594">
        <f>41292*(1.01^10)</f>
        <v>45612.056802479463</v>
      </c>
      <c r="I2594">
        <f>271563*(1.01^10)</f>
        <v>299974.49824304297</v>
      </c>
      <c r="J2594" t="s">
        <v>8309</v>
      </c>
      <c r="K2594">
        <f t="shared" si="40"/>
        <v>627.53515379119028</v>
      </c>
    </row>
    <row r="2595" spans="1:11" x14ac:dyDescent="0.2">
      <c r="A2595" t="s">
        <v>422</v>
      </c>
      <c r="B2595" t="s">
        <v>1039</v>
      </c>
      <c r="C2595" t="s">
        <v>8310</v>
      </c>
      <c r="D2595" t="s">
        <v>8311</v>
      </c>
      <c r="E2595" t="s">
        <v>2726</v>
      </c>
      <c r="F2595" t="s">
        <v>427</v>
      </c>
      <c r="G2595" t="s">
        <v>24</v>
      </c>
      <c r="H2595">
        <f>25644*(1.01^10)</f>
        <v>28326.929784044936</v>
      </c>
      <c r="I2595">
        <f>153198*(1.01^10)</f>
        <v>169225.90036874576</v>
      </c>
      <c r="J2595" t="s">
        <v>8312</v>
      </c>
      <c r="K2595">
        <f t="shared" si="40"/>
        <v>406.25755521597546</v>
      </c>
    </row>
    <row r="2596" spans="1:11" x14ac:dyDescent="0.2">
      <c r="A2596" t="s">
        <v>422</v>
      </c>
      <c r="B2596" t="s">
        <v>1039</v>
      </c>
      <c r="C2596" t="s">
        <v>8313</v>
      </c>
      <c r="D2596" t="s">
        <v>8314</v>
      </c>
      <c r="E2596" t="s">
        <v>1498</v>
      </c>
      <c r="F2596" t="s">
        <v>152</v>
      </c>
      <c r="G2596" t="s">
        <v>24</v>
      </c>
      <c r="H2596">
        <f>27993*(1.01^10)</f>
        <v>30921.687156635853</v>
      </c>
      <c r="I2596">
        <f>175087*(1.01^10)</f>
        <v>193404.97407187161</v>
      </c>
      <c r="J2596" t="s">
        <v>8315</v>
      </c>
      <c r="K2596">
        <f t="shared" si="40"/>
        <v>523.51691931363075</v>
      </c>
    </row>
    <row r="2597" spans="1:11" x14ac:dyDescent="0.2">
      <c r="A2597" t="s">
        <v>422</v>
      </c>
      <c r="B2597" t="s">
        <v>1039</v>
      </c>
      <c r="C2597" t="s">
        <v>8316</v>
      </c>
      <c r="D2597" t="s">
        <v>8317</v>
      </c>
      <c r="E2597" t="s">
        <v>738</v>
      </c>
      <c r="F2597" t="s">
        <v>108</v>
      </c>
      <c r="G2597" t="s">
        <v>152</v>
      </c>
      <c r="H2597">
        <f>63426*(1.01^10)</f>
        <v>70061.762926331066</v>
      </c>
      <c r="I2597">
        <f>372570*(1.01^10)</f>
        <v>411549.06526445254</v>
      </c>
      <c r="J2597" t="s">
        <v>8318</v>
      </c>
      <c r="K2597">
        <f t="shared" si="40"/>
        <v>1007.343812991669</v>
      </c>
    </row>
    <row r="2598" spans="1:11" x14ac:dyDescent="0.2">
      <c r="A2598" t="s">
        <v>422</v>
      </c>
      <c r="B2598" t="s">
        <v>1039</v>
      </c>
      <c r="C2598" t="s">
        <v>8319</v>
      </c>
      <c r="D2598" t="s">
        <v>8320</v>
      </c>
      <c r="E2598" t="s">
        <v>347</v>
      </c>
      <c r="F2598" t="s">
        <v>744</v>
      </c>
      <c r="G2598" t="s">
        <v>24</v>
      </c>
      <c r="H2598">
        <f>26766*(1.01^10)</f>
        <v>29566.315808756306</v>
      </c>
      <c r="I2598">
        <f>169451*(1.01^10)</f>
        <v>187179.32377305406</v>
      </c>
      <c r="J2598" t="s">
        <v>8321</v>
      </c>
      <c r="K2598">
        <f t="shared" si="40"/>
        <v>551.01258672993049</v>
      </c>
    </row>
    <row r="2599" spans="1:11" x14ac:dyDescent="0.2">
      <c r="A2599" t="s">
        <v>422</v>
      </c>
      <c r="B2599" t="s">
        <v>1039</v>
      </c>
      <c r="C2599" t="s">
        <v>8322</v>
      </c>
      <c r="D2599" t="s">
        <v>8323</v>
      </c>
      <c r="E2599" t="s">
        <v>1545</v>
      </c>
      <c r="F2599" t="s">
        <v>6</v>
      </c>
      <c r="G2599" t="s">
        <v>24</v>
      </c>
      <c r="H2599">
        <f>25636*(1.01^10)</f>
        <v>28318.092807041645</v>
      </c>
      <c r="I2599">
        <f>158094*(1.01^10)</f>
        <v>174634.130294759</v>
      </c>
      <c r="J2599" t="s">
        <v>8324</v>
      </c>
      <c r="K2599">
        <f t="shared" si="40"/>
        <v>525.21380065282619</v>
      </c>
    </row>
    <row r="2600" spans="1:11" x14ac:dyDescent="0.2">
      <c r="A2600" t="s">
        <v>422</v>
      </c>
      <c r="B2600" t="s">
        <v>1039</v>
      </c>
      <c r="C2600" t="s">
        <v>8325</v>
      </c>
      <c r="D2600" t="s">
        <v>8326</v>
      </c>
      <c r="E2600" t="s">
        <v>998</v>
      </c>
      <c r="F2600" t="s">
        <v>11</v>
      </c>
      <c r="G2600" t="s">
        <v>12</v>
      </c>
      <c r="H2600">
        <f>22765*(1.01^10)</f>
        <v>25146.722684986074</v>
      </c>
      <c r="I2600">
        <f>149068*(1.01^10)</f>
        <v>164663.81099079747</v>
      </c>
      <c r="J2600" t="s">
        <v>8327</v>
      </c>
      <c r="K2600">
        <f t="shared" si="40"/>
        <v>678.18113086796075</v>
      </c>
    </row>
    <row r="2601" spans="1:11" x14ac:dyDescent="0.2">
      <c r="A2601" t="s">
        <v>422</v>
      </c>
      <c r="B2601" t="s">
        <v>1039</v>
      </c>
      <c r="C2601" t="s">
        <v>8328</v>
      </c>
      <c r="D2601" t="s">
        <v>8329</v>
      </c>
      <c r="E2601" t="s">
        <v>385</v>
      </c>
      <c r="F2601" t="s">
        <v>405</v>
      </c>
      <c r="G2601" t="s">
        <v>17</v>
      </c>
      <c r="H2601">
        <f>38335*(1.01^10)</f>
        <v>42345.689177638531</v>
      </c>
      <c r="I2601">
        <f>226006*(1.01^10)</f>
        <v>249651.22807568475</v>
      </c>
      <c r="J2601" t="s">
        <v>8330</v>
      </c>
      <c r="K2601">
        <f t="shared" si="40"/>
        <v>596.61015906339571</v>
      </c>
    </row>
    <row r="2602" spans="1:11" x14ac:dyDescent="0.2">
      <c r="A2602" t="s">
        <v>422</v>
      </c>
      <c r="B2602" t="s">
        <v>1039</v>
      </c>
      <c r="C2602" t="s">
        <v>8331</v>
      </c>
      <c r="D2602" t="s">
        <v>8332</v>
      </c>
      <c r="E2602" t="s">
        <v>352</v>
      </c>
      <c r="F2602" t="s">
        <v>11</v>
      </c>
      <c r="G2602" t="s">
        <v>24</v>
      </c>
      <c r="H2602">
        <f>20244*(1.01^10)</f>
        <v>22361.970306824427</v>
      </c>
      <c r="I2602">
        <f>109515*(1.01^10)</f>
        <v>120972.69206440808</v>
      </c>
      <c r="J2602" t="s">
        <v>8333</v>
      </c>
      <c r="K2602">
        <f t="shared" si="40"/>
        <v>309.64679368605221</v>
      </c>
    </row>
    <row r="2603" spans="1:11" x14ac:dyDescent="0.2">
      <c r="A2603" t="s">
        <v>422</v>
      </c>
      <c r="B2603" t="s">
        <v>1051</v>
      </c>
      <c r="C2603" t="s">
        <v>8334</v>
      </c>
      <c r="D2603" t="s">
        <v>8335</v>
      </c>
      <c r="E2603" t="s">
        <v>1498</v>
      </c>
      <c r="F2603" t="s">
        <v>333</v>
      </c>
      <c r="G2603" t="s">
        <v>12</v>
      </c>
      <c r="H2603">
        <f>63373*(1.01^10)</f>
        <v>70003.217953684274</v>
      </c>
      <c r="I2603">
        <f>346089*(1.01^10)</f>
        <v>382297.56676143844</v>
      </c>
      <c r="J2603" t="s">
        <v>8336</v>
      </c>
      <c r="K2603">
        <f t="shared" si="40"/>
        <v>1132.4464782920065</v>
      </c>
    </row>
    <row r="2604" spans="1:11" x14ac:dyDescent="0.2">
      <c r="A2604" t="s">
        <v>422</v>
      </c>
      <c r="B2604" t="s">
        <v>1051</v>
      </c>
      <c r="C2604" t="s">
        <v>8337</v>
      </c>
      <c r="D2604" t="s">
        <v>4545</v>
      </c>
      <c r="E2604" t="s">
        <v>5191</v>
      </c>
      <c r="F2604" t="s">
        <v>542</v>
      </c>
      <c r="G2604" t="s">
        <v>24</v>
      </c>
      <c r="H2604">
        <f>32637*(1.01^10)</f>
        <v>36051.552307045487</v>
      </c>
      <c r="I2604">
        <f>175845*(1.01^10)</f>
        <v>194242.2776429333</v>
      </c>
      <c r="J2604" t="s">
        <v>8338</v>
      </c>
      <c r="K2604">
        <f t="shared" si="40"/>
        <v>541.43289720560256</v>
      </c>
    </row>
    <row r="2605" spans="1:11" x14ac:dyDescent="0.2">
      <c r="A2605" t="s">
        <v>422</v>
      </c>
      <c r="B2605" t="s">
        <v>1051</v>
      </c>
      <c r="C2605" t="s">
        <v>8339</v>
      </c>
      <c r="D2605" t="s">
        <v>8340</v>
      </c>
      <c r="E2605" t="s">
        <v>342</v>
      </c>
      <c r="F2605" t="s">
        <v>185</v>
      </c>
      <c r="G2605" t="s">
        <v>24</v>
      </c>
      <c r="H2605">
        <f>16136*(1.01^10)</f>
        <v>17824.1826156352</v>
      </c>
      <c r="I2605">
        <f>90757*(1.01^10)</f>
        <v>100252.19023594471</v>
      </c>
      <c r="J2605" t="s">
        <v>8341</v>
      </c>
      <c r="K2605">
        <f t="shared" si="40"/>
        <v>603.05289186917366</v>
      </c>
    </row>
    <row r="2606" spans="1:11" x14ac:dyDescent="0.2">
      <c r="A2606" t="s">
        <v>422</v>
      </c>
      <c r="B2606" t="s">
        <v>1051</v>
      </c>
      <c r="C2606" t="s">
        <v>8342</v>
      </c>
      <c r="D2606" t="s">
        <v>8343</v>
      </c>
      <c r="E2606" t="s">
        <v>10</v>
      </c>
      <c r="F2606" t="s">
        <v>445</v>
      </c>
      <c r="G2606" t="s">
        <v>24</v>
      </c>
      <c r="H2606">
        <f>13151*(1.01^10)</f>
        <v>14526.885571282754</v>
      </c>
      <c r="I2606">
        <f>76116*(1.01^10)</f>
        <v>84079.417697799261</v>
      </c>
      <c r="J2606" t="s">
        <v>8344</v>
      </c>
      <c r="K2606">
        <f t="shared" si="40"/>
        <v>602.5378380974945</v>
      </c>
    </row>
    <row r="2607" spans="1:11" x14ac:dyDescent="0.2">
      <c r="A2607" t="s">
        <v>422</v>
      </c>
      <c r="B2607" t="s">
        <v>1051</v>
      </c>
      <c r="C2607" t="s">
        <v>8345</v>
      </c>
      <c r="D2607" t="s">
        <v>8346</v>
      </c>
      <c r="E2607" t="s">
        <v>139</v>
      </c>
      <c r="F2607" t="s">
        <v>72</v>
      </c>
      <c r="G2607" t="s">
        <v>24</v>
      </c>
      <c r="H2607">
        <f>18697*(1.01^10)</f>
        <v>20653.119878813297</v>
      </c>
      <c r="I2607">
        <f>107015*(1.01^10)</f>
        <v>118211.13675088008</v>
      </c>
      <c r="J2607" t="s">
        <v>8347</v>
      </c>
      <c r="K2607">
        <f t="shared" si="40"/>
        <v>454.38848521618291</v>
      </c>
    </row>
    <row r="2608" spans="1:11" x14ac:dyDescent="0.2">
      <c r="A2608" t="s">
        <v>422</v>
      </c>
      <c r="B2608" t="s">
        <v>1051</v>
      </c>
      <c r="C2608" t="s">
        <v>8348</v>
      </c>
      <c r="D2608" t="s">
        <v>8349</v>
      </c>
      <c r="E2608" t="s">
        <v>144</v>
      </c>
      <c r="F2608" t="s">
        <v>274</v>
      </c>
      <c r="G2608" t="s">
        <v>12</v>
      </c>
      <c r="H2608">
        <f>33270*(1.01^10)</f>
        <v>36750.77811243078</v>
      </c>
      <c r="I2608">
        <f>190748*(1.01^10)</f>
        <v>210704.46117793649</v>
      </c>
      <c r="J2608" t="s">
        <v>8350</v>
      </c>
      <c r="K2608">
        <f t="shared" si="40"/>
        <v>769.16426951772723</v>
      </c>
    </row>
    <row r="2609" spans="1:11" x14ac:dyDescent="0.2">
      <c r="A2609" t="s">
        <v>422</v>
      </c>
      <c r="B2609" t="s">
        <v>1051</v>
      </c>
      <c r="C2609" t="s">
        <v>8351</v>
      </c>
      <c r="D2609" t="s">
        <v>8352</v>
      </c>
      <c r="E2609" t="s">
        <v>399</v>
      </c>
      <c r="F2609" t="s">
        <v>11</v>
      </c>
      <c r="G2609" t="s">
        <v>24</v>
      </c>
      <c r="H2609">
        <f>13516*(1.01^10)</f>
        <v>14930.072647057843</v>
      </c>
      <c r="I2609">
        <f>86733*(1.01^10)</f>
        <v>95807.190803290025</v>
      </c>
      <c r="J2609" t="s">
        <v>8353</v>
      </c>
      <c r="K2609">
        <f t="shared" si="40"/>
        <v>549.11090325143073</v>
      </c>
    </row>
    <row r="2610" spans="1:11" x14ac:dyDescent="0.2">
      <c r="A2610" t="s">
        <v>422</v>
      </c>
      <c r="B2610" t="s">
        <v>1051</v>
      </c>
      <c r="C2610" t="s">
        <v>8354</v>
      </c>
      <c r="D2610" t="s">
        <v>8355</v>
      </c>
      <c r="E2610" t="s">
        <v>784</v>
      </c>
      <c r="F2610" t="s">
        <v>108</v>
      </c>
      <c r="G2610" t="s">
        <v>24</v>
      </c>
      <c r="H2610">
        <f>14841*(1.01^10)</f>
        <v>16393.696963227689</v>
      </c>
      <c r="I2610">
        <f>88251*(1.01^10)</f>
        <v>97484.007189664233</v>
      </c>
      <c r="J2610" t="s">
        <v>8356</v>
      </c>
      <c r="K2610">
        <f t="shared" si="40"/>
        <v>687.91196587032664</v>
      </c>
    </row>
    <row r="2611" spans="1:11" x14ac:dyDescent="0.2">
      <c r="A2611" t="s">
        <v>422</v>
      </c>
      <c r="B2611" t="s">
        <v>1051</v>
      </c>
      <c r="C2611" t="s">
        <v>8357</v>
      </c>
      <c r="D2611" t="s">
        <v>8358</v>
      </c>
      <c r="E2611" t="s">
        <v>1039</v>
      </c>
      <c r="F2611" t="s">
        <v>185</v>
      </c>
      <c r="G2611" t="s">
        <v>24</v>
      </c>
      <c r="H2611">
        <f>29470*(1.01^10)</f>
        <v>32553.214035868205</v>
      </c>
      <c r="I2611">
        <f>169238*(1.01^10)</f>
        <v>186944.03926034147</v>
      </c>
      <c r="J2611" t="s">
        <v>8359</v>
      </c>
      <c r="K2611">
        <f t="shared" si="40"/>
        <v>580.11233160302572</v>
      </c>
    </row>
    <row r="2612" spans="1:11" x14ac:dyDescent="0.2">
      <c r="A2612" t="s">
        <v>422</v>
      </c>
      <c r="B2612" t="s">
        <v>1051</v>
      </c>
      <c r="C2612" t="s">
        <v>8360</v>
      </c>
      <c r="D2612" t="s">
        <v>8361</v>
      </c>
      <c r="E2612" t="s">
        <v>2653</v>
      </c>
      <c r="F2612" t="s">
        <v>61</v>
      </c>
      <c r="G2612" t="s">
        <v>24</v>
      </c>
      <c r="H2612">
        <f>29256*(1.01^10)</f>
        <v>32316.824901030206</v>
      </c>
      <c r="I2612">
        <f>161281*(1.01^10)</f>
        <v>178154.56100844452</v>
      </c>
      <c r="J2612" t="s">
        <v>8362</v>
      </c>
      <c r="K2612">
        <f t="shared" si="40"/>
        <v>589.25320901379609</v>
      </c>
    </row>
    <row r="2613" spans="1:11" x14ac:dyDescent="0.2">
      <c r="A2613" t="s">
        <v>422</v>
      </c>
      <c r="B2613" t="s">
        <v>1641</v>
      </c>
      <c r="C2613" t="s">
        <v>8363</v>
      </c>
      <c r="D2613" t="s">
        <v>8364</v>
      </c>
      <c r="E2613" t="s">
        <v>2162</v>
      </c>
      <c r="F2613" t="s">
        <v>537</v>
      </c>
      <c r="G2613" t="s">
        <v>24</v>
      </c>
      <c r="H2613">
        <f>27523*(1.01^10)</f>
        <v>30402.514757692588</v>
      </c>
      <c r="I2613">
        <f>146325*(1.01^10)</f>
        <v>161633.83250079452</v>
      </c>
      <c r="J2613" t="s">
        <v>8365</v>
      </c>
      <c r="K2613">
        <f t="shared" si="40"/>
        <v>1291.9512253241951</v>
      </c>
    </row>
    <row r="2614" spans="1:11" x14ac:dyDescent="0.2">
      <c r="A2614" t="s">
        <v>422</v>
      </c>
      <c r="B2614" t="s">
        <v>1641</v>
      </c>
      <c r="C2614" t="s">
        <v>8366</v>
      </c>
      <c r="D2614" t="s">
        <v>8367</v>
      </c>
      <c r="E2614" t="s">
        <v>568</v>
      </c>
      <c r="F2614" t="s">
        <v>164</v>
      </c>
      <c r="G2614" t="s">
        <v>24</v>
      </c>
      <c r="H2614">
        <f>19642*(1.01^10)</f>
        <v>21696.987787326885</v>
      </c>
      <c r="I2614">
        <f>99603*(1.01^10)</f>
        <v>110023.67755733222</v>
      </c>
      <c r="J2614" t="s">
        <v>8368</v>
      </c>
      <c r="K2614">
        <f t="shared" si="40"/>
        <v>1326.1434742984738</v>
      </c>
    </row>
    <row r="2615" spans="1:11" x14ac:dyDescent="0.2">
      <c r="A2615" t="s">
        <v>422</v>
      </c>
      <c r="B2615" t="s">
        <v>1641</v>
      </c>
      <c r="C2615" t="s">
        <v>8369</v>
      </c>
      <c r="D2615" t="s">
        <v>8370</v>
      </c>
      <c r="E2615" t="s">
        <v>361</v>
      </c>
      <c r="F2615" t="s">
        <v>1295</v>
      </c>
      <c r="G2615" t="s">
        <v>24</v>
      </c>
      <c r="H2615">
        <f>28539*(1.01^10)</f>
        <v>31524.810837110374</v>
      </c>
      <c r="I2615">
        <f>138330*(1.01^10)</f>
        <v>152802.37860813196</v>
      </c>
      <c r="J2615" t="s">
        <v>8371</v>
      </c>
      <c r="K2615">
        <f t="shared" si="40"/>
        <v>393.78242580892612</v>
      </c>
    </row>
    <row r="2616" spans="1:11" x14ac:dyDescent="0.2">
      <c r="A2616" t="s">
        <v>422</v>
      </c>
      <c r="B2616" t="s">
        <v>1641</v>
      </c>
      <c r="C2616" t="s">
        <v>8372</v>
      </c>
      <c r="D2616" t="s">
        <v>8373</v>
      </c>
      <c r="E2616" t="s">
        <v>1646</v>
      </c>
      <c r="F2616" t="s">
        <v>4</v>
      </c>
      <c r="G2616" t="s">
        <v>12</v>
      </c>
      <c r="H2616">
        <f>34959*(1.01^10)</f>
        <v>38616.484882250305</v>
      </c>
      <c r="I2616">
        <f>196976*(1.01^10)</f>
        <v>217584.04777499745</v>
      </c>
      <c r="J2616" t="s">
        <v>8374</v>
      </c>
      <c r="K2616">
        <f t="shared" si="40"/>
        <v>1363.7089201897079</v>
      </c>
    </row>
    <row r="2617" spans="1:11" x14ac:dyDescent="0.2">
      <c r="A2617" t="s">
        <v>422</v>
      </c>
      <c r="B2617" t="s">
        <v>1641</v>
      </c>
      <c r="C2617" t="s">
        <v>8375</v>
      </c>
      <c r="D2617" t="s">
        <v>8376</v>
      </c>
      <c r="E2617" t="s">
        <v>568</v>
      </c>
      <c r="F2617" t="s">
        <v>126</v>
      </c>
      <c r="G2617" t="s">
        <v>24</v>
      </c>
      <c r="H2617">
        <f>22641*(1.01^10)</f>
        <v>25009.749541435085</v>
      </c>
      <c r="I2617">
        <f>115662*(1.01^10)</f>
        <v>127762.80426931076</v>
      </c>
      <c r="J2617" t="s">
        <v>8377</v>
      </c>
      <c r="K2617">
        <f t="shared" si="40"/>
        <v>774.54355675949728</v>
      </c>
    </row>
    <row r="2618" spans="1:11" x14ac:dyDescent="0.2">
      <c r="A2618" t="s">
        <v>422</v>
      </c>
      <c r="B2618" t="s">
        <v>1641</v>
      </c>
      <c r="C2618" t="s">
        <v>8378</v>
      </c>
      <c r="D2618" t="s">
        <v>8379</v>
      </c>
      <c r="E2618" t="s">
        <v>1101</v>
      </c>
      <c r="F2618" t="s">
        <v>520</v>
      </c>
      <c r="G2618" t="s">
        <v>24</v>
      </c>
      <c r="H2618">
        <f>16100*(1.01^10)</f>
        <v>17784.416219120398</v>
      </c>
      <c r="I2618">
        <f>93448*(1.01^10)</f>
        <v>103224.72837542626</v>
      </c>
      <c r="J2618" t="s">
        <v>8380</v>
      </c>
      <c r="K2618">
        <f t="shared" si="40"/>
        <v>1275.8707962410883</v>
      </c>
    </row>
    <row r="2619" spans="1:11" x14ac:dyDescent="0.2">
      <c r="A2619" t="s">
        <v>422</v>
      </c>
      <c r="B2619" t="s">
        <v>1641</v>
      </c>
      <c r="C2619" t="s">
        <v>8381</v>
      </c>
      <c r="D2619" t="s">
        <v>8382</v>
      </c>
      <c r="E2619" t="s">
        <v>157</v>
      </c>
      <c r="F2619" t="s">
        <v>837</v>
      </c>
      <c r="G2619" t="s">
        <v>17</v>
      </c>
      <c r="H2619">
        <f>52645*(1.01^10)</f>
        <v>58152.831792272875</v>
      </c>
      <c r="I2619">
        <f>270255*(1.01^10)</f>
        <v>298529.65250300511</v>
      </c>
      <c r="J2619" t="s">
        <v>8383</v>
      </c>
      <c r="K2619">
        <f t="shared" si="40"/>
        <v>839.82781379443873</v>
      </c>
    </row>
    <row r="2620" spans="1:11" x14ac:dyDescent="0.2">
      <c r="A2620" t="s">
        <v>422</v>
      </c>
      <c r="B2620" t="s">
        <v>1641</v>
      </c>
      <c r="C2620" t="s">
        <v>8384</v>
      </c>
      <c r="D2620" t="s">
        <v>8385</v>
      </c>
      <c r="E2620" t="s">
        <v>157</v>
      </c>
      <c r="F2620" t="s">
        <v>44</v>
      </c>
      <c r="G2620" t="s">
        <v>24</v>
      </c>
      <c r="H2620">
        <f>37594*(1.01^10)</f>
        <v>41527.164182708832</v>
      </c>
      <c r="I2620">
        <f>187489*(1.01^10)</f>
        <v>207104.49767122135</v>
      </c>
      <c r="J2620" t="s">
        <v>8386</v>
      </c>
      <c r="K2620">
        <f t="shared" si="40"/>
        <v>435.51573984145222</v>
      </c>
    </row>
    <row r="2621" spans="1:11" x14ac:dyDescent="0.2">
      <c r="A2621" t="s">
        <v>422</v>
      </c>
      <c r="B2621" t="s">
        <v>1641</v>
      </c>
      <c r="C2621" t="s">
        <v>8387</v>
      </c>
      <c r="D2621" t="s">
        <v>8388</v>
      </c>
      <c r="E2621" t="s">
        <v>667</v>
      </c>
      <c r="F2621" t="s">
        <v>168</v>
      </c>
      <c r="G2621" t="s">
        <v>24</v>
      </c>
      <c r="H2621">
        <f>14005*(1.01^10)</f>
        <v>15470.232866383922</v>
      </c>
      <c r="I2621">
        <f>65463*(1.01^10)</f>
        <v>72311.878195793703</v>
      </c>
      <c r="J2621" t="s">
        <v>8389</v>
      </c>
      <c r="K2621">
        <f t="shared" si="40"/>
        <v>166.81766326426478</v>
      </c>
    </row>
    <row r="2622" spans="1:11" x14ac:dyDescent="0.2">
      <c r="A2622" t="s">
        <v>422</v>
      </c>
      <c r="B2622" t="s">
        <v>2421</v>
      </c>
      <c r="C2622" t="s">
        <v>8390</v>
      </c>
      <c r="D2622" t="s">
        <v>8391</v>
      </c>
      <c r="E2622" t="s">
        <v>1340</v>
      </c>
      <c r="F2622" t="s">
        <v>108</v>
      </c>
      <c r="G2622" t="s">
        <v>12</v>
      </c>
      <c r="H2622">
        <f>30599*(1.01^10)</f>
        <v>33800.332415457451</v>
      </c>
      <c r="I2622">
        <f>162120*(1.01^10)</f>
        <v>179081.33897166452</v>
      </c>
      <c r="J2622" t="s">
        <v>8392</v>
      </c>
      <c r="K2622">
        <f t="shared" si="40"/>
        <v>995.74838754251425</v>
      </c>
    </row>
    <row r="2623" spans="1:11" x14ac:dyDescent="0.2">
      <c r="A2623" t="s">
        <v>422</v>
      </c>
      <c r="B2623" t="s">
        <v>2421</v>
      </c>
      <c r="C2623" t="s">
        <v>8393</v>
      </c>
      <c r="D2623" t="s">
        <v>8394</v>
      </c>
      <c r="E2623" t="s">
        <v>203</v>
      </c>
      <c r="F2623" t="s">
        <v>674</v>
      </c>
      <c r="G2623" t="s">
        <v>24</v>
      </c>
      <c r="H2623">
        <f>15579*(1.01^10)</f>
        <v>17208.908091781159</v>
      </c>
      <c r="I2623">
        <f>75659*(1.01^10)</f>
        <v>83574.605386486335</v>
      </c>
      <c r="J2623" t="s">
        <v>8395</v>
      </c>
      <c r="K2623">
        <f t="shared" si="40"/>
        <v>385.39906559200853</v>
      </c>
    </row>
    <row r="2624" spans="1:11" x14ac:dyDescent="0.2">
      <c r="A2624" t="s">
        <v>422</v>
      </c>
      <c r="B2624" t="s">
        <v>2421</v>
      </c>
      <c r="C2624" t="s">
        <v>8396</v>
      </c>
      <c r="D2624" t="s">
        <v>8397</v>
      </c>
      <c r="E2624" t="s">
        <v>2653</v>
      </c>
      <c r="F2624" t="s">
        <v>1589</v>
      </c>
      <c r="G2624" t="s">
        <v>12</v>
      </c>
      <c r="H2624">
        <f>20623*(1.01^10)</f>
        <v>22780.622092355276</v>
      </c>
      <c r="I2624">
        <f>97845*(1.01^10)</f>
        <v>108081.75186085932</v>
      </c>
      <c r="J2624" t="s">
        <v>8398</v>
      </c>
      <c r="K2624">
        <f t="shared" si="40"/>
        <v>294.33981468263192</v>
      </c>
    </row>
    <row r="2625" spans="1:11" x14ac:dyDescent="0.2">
      <c r="A2625" t="s">
        <v>422</v>
      </c>
      <c r="B2625" t="s">
        <v>2421</v>
      </c>
      <c r="C2625" t="s">
        <v>8399</v>
      </c>
      <c r="D2625" t="s">
        <v>8400</v>
      </c>
      <c r="E2625" t="s">
        <v>814</v>
      </c>
      <c r="F2625" t="s">
        <v>542</v>
      </c>
      <c r="G2625" t="s">
        <v>17</v>
      </c>
      <c r="H2625">
        <f>26919*(1.01^10)</f>
        <v>29735.322993944221</v>
      </c>
      <c r="I2625">
        <f>130227*(1.01^10)</f>
        <v>143851.62552592496</v>
      </c>
      <c r="J2625" t="s">
        <v>8401</v>
      </c>
      <c r="K2625">
        <f t="shared" si="40"/>
        <v>408.66061542875735</v>
      </c>
    </row>
    <row r="2626" spans="1:11" x14ac:dyDescent="0.2">
      <c r="A2626" t="s">
        <v>422</v>
      </c>
      <c r="B2626" t="s">
        <v>2421</v>
      </c>
      <c r="C2626" t="s">
        <v>8402</v>
      </c>
      <c r="D2626" t="s">
        <v>8403</v>
      </c>
      <c r="E2626" t="s">
        <v>608</v>
      </c>
      <c r="F2626" t="s">
        <v>121</v>
      </c>
      <c r="G2626" t="s">
        <v>24</v>
      </c>
      <c r="H2626">
        <f>16159*(1.01^10)</f>
        <v>17849.588924519656</v>
      </c>
      <c r="I2626">
        <f>76330*(1.01^10)</f>
        <v>84315.80683263726</v>
      </c>
      <c r="J2626" t="s">
        <v>8404</v>
      </c>
      <c r="K2626">
        <f t="shared" si="40"/>
        <v>330.91543594664472</v>
      </c>
    </row>
    <row r="2627" spans="1:11" x14ac:dyDescent="0.2">
      <c r="A2627" t="s">
        <v>422</v>
      </c>
      <c r="B2627" t="s">
        <v>2421</v>
      </c>
      <c r="C2627" t="s">
        <v>8405</v>
      </c>
      <c r="D2627" t="s">
        <v>8406</v>
      </c>
      <c r="E2627" t="s">
        <v>368</v>
      </c>
      <c r="F2627" t="s">
        <v>789</v>
      </c>
      <c r="G2627" t="s">
        <v>17</v>
      </c>
      <c r="H2627">
        <f>31306*(1.01^10)</f>
        <v>34581.300258123178</v>
      </c>
      <c r="I2627">
        <f>168413*(1.01^10)</f>
        <v>186032.72600687723</v>
      </c>
      <c r="J2627" t="s">
        <v>8407</v>
      </c>
      <c r="K2627">
        <f t="shared" ref="K2627:K2690" si="41">I2627/J2627</f>
        <v>758.28300303766548</v>
      </c>
    </row>
    <row r="2628" spans="1:11" x14ac:dyDescent="0.2">
      <c r="A2628" t="s">
        <v>422</v>
      </c>
      <c r="B2628" t="s">
        <v>2421</v>
      </c>
      <c r="C2628" t="s">
        <v>8408</v>
      </c>
      <c r="D2628" t="s">
        <v>8409</v>
      </c>
      <c r="E2628" t="s">
        <v>1054</v>
      </c>
      <c r="F2628" t="s">
        <v>126</v>
      </c>
      <c r="G2628" t="s">
        <v>12</v>
      </c>
      <c r="H2628">
        <f>31815*(1.01^10)</f>
        <v>35143.552919957481</v>
      </c>
      <c r="I2628">
        <f>177263*(1.01^10)</f>
        <v>195808.6318167664</v>
      </c>
      <c r="J2628" t="s">
        <v>8410</v>
      </c>
      <c r="K2628">
        <f t="shared" si="41"/>
        <v>2127.500761661282</v>
      </c>
    </row>
    <row r="2629" spans="1:11" x14ac:dyDescent="0.2">
      <c r="A2629" t="s">
        <v>422</v>
      </c>
      <c r="B2629" t="s">
        <v>2421</v>
      </c>
      <c r="C2629" t="s">
        <v>8411</v>
      </c>
      <c r="D2629" t="s">
        <v>8412</v>
      </c>
      <c r="E2629" t="s">
        <v>1295</v>
      </c>
      <c r="F2629" t="s">
        <v>411</v>
      </c>
      <c r="G2629" t="s">
        <v>24</v>
      </c>
      <c r="H2629">
        <f>17124*(1.01^10)</f>
        <v>18915.549275541471</v>
      </c>
      <c r="I2629">
        <f>81940*(1.01^10)</f>
        <v>90512.736956194116</v>
      </c>
      <c r="J2629" t="s">
        <v>8413</v>
      </c>
      <c r="K2629">
        <f t="shared" si="41"/>
        <v>513.39717921568388</v>
      </c>
    </row>
    <row r="2630" spans="1:11" x14ac:dyDescent="0.2">
      <c r="A2630" t="s">
        <v>422</v>
      </c>
      <c r="B2630" t="s">
        <v>2421</v>
      </c>
      <c r="C2630" t="s">
        <v>8414</v>
      </c>
      <c r="D2630" t="s">
        <v>8415</v>
      </c>
      <c r="E2630" t="s">
        <v>2410</v>
      </c>
      <c r="F2630" t="s">
        <v>394</v>
      </c>
      <c r="G2630" t="s">
        <v>12</v>
      </c>
      <c r="H2630">
        <f>36899*(1.01^10)</f>
        <v>40759.451805548044</v>
      </c>
      <c r="I2630">
        <f>180770*(1.01^10)</f>
        <v>199682.54161058349</v>
      </c>
      <c r="J2630" t="s">
        <v>8416</v>
      </c>
      <c r="K2630">
        <f t="shared" si="41"/>
        <v>1117.8840197045763</v>
      </c>
    </row>
    <row r="2631" spans="1:11" x14ac:dyDescent="0.2">
      <c r="A2631" t="s">
        <v>422</v>
      </c>
      <c r="B2631" t="s">
        <v>376</v>
      </c>
      <c r="C2631" t="s">
        <v>8417</v>
      </c>
      <c r="D2631" t="s">
        <v>8418</v>
      </c>
      <c r="E2631" t="s">
        <v>966</v>
      </c>
      <c r="F2631" t="s">
        <v>220</v>
      </c>
      <c r="G2631" t="s">
        <v>24</v>
      </c>
      <c r="H2631">
        <f>21702*(1.01^10)</f>
        <v>23972.509365673966</v>
      </c>
      <c r="I2631">
        <f>105701*(1.01^10)</f>
        <v>116759.66327808975</v>
      </c>
      <c r="J2631" t="s">
        <v>8419</v>
      </c>
      <c r="K2631">
        <f t="shared" si="41"/>
        <v>281.89942712583996</v>
      </c>
    </row>
    <row r="2632" spans="1:11" x14ac:dyDescent="0.2">
      <c r="A2632" t="s">
        <v>422</v>
      </c>
      <c r="B2632" t="s">
        <v>376</v>
      </c>
      <c r="C2632" t="s">
        <v>8420</v>
      </c>
      <c r="D2632" t="s">
        <v>8421</v>
      </c>
      <c r="E2632" t="s">
        <v>560</v>
      </c>
      <c r="F2632" t="s">
        <v>17</v>
      </c>
      <c r="G2632" t="s">
        <v>24</v>
      </c>
      <c r="H2632">
        <f>13390*(1.01^10)</f>
        <v>14790.890259256032</v>
      </c>
      <c r="I2632">
        <f>65289*(1.01^10)</f>
        <v>72119.673945972143</v>
      </c>
      <c r="J2632" t="s">
        <v>8422</v>
      </c>
      <c r="K2632">
        <f t="shared" si="41"/>
        <v>268.14420404263052</v>
      </c>
    </row>
    <row r="2633" spans="1:11" x14ac:dyDescent="0.2">
      <c r="A2633" t="s">
        <v>422</v>
      </c>
      <c r="B2633" t="s">
        <v>376</v>
      </c>
      <c r="C2633" t="s">
        <v>8423</v>
      </c>
      <c r="D2633" t="s">
        <v>8424</v>
      </c>
      <c r="E2633" t="s">
        <v>399</v>
      </c>
      <c r="F2633" t="s">
        <v>318</v>
      </c>
      <c r="G2633" t="s">
        <v>24</v>
      </c>
      <c r="H2633">
        <f>16212*(1.01^10)</f>
        <v>17908.133897166452</v>
      </c>
      <c r="I2633">
        <f>84079*(1.01^10)</f>
        <v>92875.523682448678</v>
      </c>
      <c r="J2633" t="s">
        <v>8425</v>
      </c>
      <c r="K2633">
        <f t="shared" si="41"/>
        <v>534.4777384902809</v>
      </c>
    </row>
    <row r="2634" spans="1:11" x14ac:dyDescent="0.2">
      <c r="A2634" t="s">
        <v>422</v>
      </c>
      <c r="B2634" t="s">
        <v>376</v>
      </c>
      <c r="C2634" t="s">
        <v>8426</v>
      </c>
      <c r="D2634" t="s">
        <v>8427</v>
      </c>
      <c r="E2634" t="s">
        <v>540</v>
      </c>
      <c r="F2634" t="s">
        <v>1656</v>
      </c>
      <c r="G2634" t="s">
        <v>5</v>
      </c>
      <c r="H2634">
        <f>63318*(1.01^10)</f>
        <v>69942.463736786667</v>
      </c>
      <c r="I2634">
        <f>327915*(1.01^10)</f>
        <v>362222.1642542152</v>
      </c>
      <c r="J2634" t="s">
        <v>8428</v>
      </c>
      <c r="K2634">
        <f t="shared" si="41"/>
        <v>1609.607324934314</v>
      </c>
    </row>
    <row r="2635" spans="1:11" x14ac:dyDescent="0.2">
      <c r="A2635" t="s">
        <v>422</v>
      </c>
      <c r="B2635" t="s">
        <v>376</v>
      </c>
      <c r="C2635" t="s">
        <v>8429</v>
      </c>
      <c r="D2635" t="s">
        <v>8430</v>
      </c>
      <c r="E2635" t="s">
        <v>517</v>
      </c>
      <c r="F2635" t="s">
        <v>61</v>
      </c>
      <c r="G2635" t="s">
        <v>24</v>
      </c>
      <c r="H2635">
        <f>44703*(1.01^10)</f>
        <v>49379.922872257084</v>
      </c>
      <c r="I2635">
        <f>208862*(1.01^10)</f>
        <v>230713.58635763504</v>
      </c>
      <c r="J2635" t="s">
        <v>8431</v>
      </c>
      <c r="K2635">
        <f t="shared" si="41"/>
        <v>518.91099631967484</v>
      </c>
    </row>
    <row r="2636" spans="1:11" x14ac:dyDescent="0.2">
      <c r="A2636" t="s">
        <v>422</v>
      </c>
      <c r="B2636" t="s">
        <v>376</v>
      </c>
      <c r="C2636" t="s">
        <v>8432</v>
      </c>
      <c r="D2636" t="s">
        <v>8433</v>
      </c>
      <c r="E2636" t="s">
        <v>1446</v>
      </c>
      <c r="F2636" t="s">
        <v>152</v>
      </c>
      <c r="G2636" t="s">
        <v>24</v>
      </c>
      <c r="H2636">
        <f>22992*(1.01^10)</f>
        <v>25397.471907454419</v>
      </c>
      <c r="I2636">
        <f>108576*(1.01^10)</f>
        <v>119935.45188864696</v>
      </c>
      <c r="J2636" t="s">
        <v>8434</v>
      </c>
      <c r="K2636">
        <f t="shared" si="41"/>
        <v>421.66214800640421</v>
      </c>
    </row>
    <row r="2637" spans="1:11" x14ac:dyDescent="0.2">
      <c r="A2637" t="s">
        <v>422</v>
      </c>
      <c r="B2637" t="s">
        <v>160</v>
      </c>
      <c r="C2637" t="s">
        <v>8435</v>
      </c>
      <c r="D2637" t="s">
        <v>8436</v>
      </c>
      <c r="E2637" t="s">
        <v>396</v>
      </c>
      <c r="F2637" t="s">
        <v>1340</v>
      </c>
      <c r="G2637" t="s">
        <v>24</v>
      </c>
      <c r="H2637">
        <f>18971*(1.01^10)</f>
        <v>20955.786341175964</v>
      </c>
      <c r="I2637">
        <f>102022*(1.01^10)</f>
        <v>112695.75847870193</v>
      </c>
      <c r="J2637" t="s">
        <v>8437</v>
      </c>
      <c r="K2637">
        <f t="shared" si="41"/>
        <v>426.38169832022948</v>
      </c>
    </row>
    <row r="2638" spans="1:11" x14ac:dyDescent="0.2">
      <c r="A2638" t="s">
        <v>422</v>
      </c>
      <c r="B2638" t="s">
        <v>160</v>
      </c>
      <c r="C2638" t="s">
        <v>8438</v>
      </c>
      <c r="D2638" t="s">
        <v>8439</v>
      </c>
      <c r="E2638" t="s">
        <v>1229</v>
      </c>
      <c r="F2638" t="s">
        <v>158</v>
      </c>
      <c r="G2638" t="s">
        <v>24</v>
      </c>
      <c r="H2638">
        <f>9487*(1.01^10)</f>
        <v>10479.550103776099</v>
      </c>
      <c r="I2638">
        <f>50240*(1.01^10)</f>
        <v>55496.215580658929</v>
      </c>
      <c r="J2638" t="s">
        <v>8440</v>
      </c>
      <c r="K2638">
        <f t="shared" si="41"/>
        <v>444.58804117373364</v>
      </c>
    </row>
    <row r="2639" spans="1:11" x14ac:dyDescent="0.2">
      <c r="A2639" t="s">
        <v>422</v>
      </c>
      <c r="B2639" t="s">
        <v>160</v>
      </c>
      <c r="C2639" t="s">
        <v>8441</v>
      </c>
      <c r="D2639" t="s">
        <v>8442</v>
      </c>
      <c r="E2639" t="s">
        <v>1002</v>
      </c>
      <c r="F2639" t="s">
        <v>152</v>
      </c>
      <c r="G2639" t="s">
        <v>5</v>
      </c>
      <c r="H2639">
        <f>31207*(1.01^10)</f>
        <v>34471.942667707466</v>
      </c>
      <c r="I2639">
        <f>163342*(1.01^10)</f>
        <v>180431.18720891699</v>
      </c>
      <c r="J2639" t="s">
        <v>8443</v>
      </c>
      <c r="K2639">
        <f t="shared" si="41"/>
        <v>999.57134818187865</v>
      </c>
    </row>
    <row r="2640" spans="1:11" x14ac:dyDescent="0.2">
      <c r="A2640" t="s">
        <v>422</v>
      </c>
      <c r="B2640" t="s">
        <v>160</v>
      </c>
      <c r="C2640" t="s">
        <v>8444</v>
      </c>
      <c r="D2640" t="s">
        <v>8445</v>
      </c>
      <c r="E2640" t="s">
        <v>631</v>
      </c>
      <c r="F2640" t="s">
        <v>318</v>
      </c>
      <c r="G2640" t="s">
        <v>445</v>
      </c>
      <c r="H2640">
        <f>64297*(1.01^10)</f>
        <v>71023.888797564228</v>
      </c>
      <c r="I2640">
        <f>334309*(1.01^10)</f>
        <v>369285.11812409444</v>
      </c>
      <c r="J2640" t="s">
        <v>8446</v>
      </c>
      <c r="K2640">
        <f t="shared" si="41"/>
        <v>1408.7861676423699</v>
      </c>
    </row>
    <row r="2641" spans="1:11" x14ac:dyDescent="0.2">
      <c r="A2641" t="s">
        <v>422</v>
      </c>
      <c r="B2641" t="s">
        <v>160</v>
      </c>
      <c r="C2641" t="s">
        <v>8447</v>
      </c>
      <c r="D2641" t="s">
        <v>8448</v>
      </c>
      <c r="E2641" t="s">
        <v>856</v>
      </c>
      <c r="F2641" t="s">
        <v>6</v>
      </c>
      <c r="G2641" t="s">
        <v>11</v>
      </c>
      <c r="H2641">
        <f>44238*(1.01^10)</f>
        <v>48866.273583940878</v>
      </c>
      <c r="I2641">
        <f>245697*(1.01^10)</f>
        <v>271402.34234715678</v>
      </c>
      <c r="J2641" t="s">
        <v>8449</v>
      </c>
      <c r="K2641">
        <f t="shared" si="41"/>
        <v>885.77787972309943</v>
      </c>
    </row>
    <row r="2642" spans="1:11" x14ac:dyDescent="0.2">
      <c r="A2642" t="s">
        <v>422</v>
      </c>
      <c r="B2642" t="s">
        <v>160</v>
      </c>
      <c r="C2642" t="s">
        <v>8450</v>
      </c>
      <c r="D2642" t="s">
        <v>8451</v>
      </c>
      <c r="E2642" t="s">
        <v>427</v>
      </c>
      <c r="F2642" t="s">
        <v>24</v>
      </c>
      <c r="G2642" t="s">
        <v>158</v>
      </c>
      <c r="H2642">
        <f>231668*(1.01^10)</f>
        <v>255905.59854976297</v>
      </c>
      <c r="I2642">
        <f>1221356*(1.01^10)</f>
        <v>1349136.8606037274</v>
      </c>
      <c r="J2642" t="s">
        <v>8452</v>
      </c>
      <c r="K2642">
        <f t="shared" si="41"/>
        <v>4589.5253116197164</v>
      </c>
    </row>
    <row r="2643" spans="1:11" x14ac:dyDescent="0.2">
      <c r="A2643" t="s">
        <v>422</v>
      </c>
      <c r="B2643" t="s">
        <v>160</v>
      </c>
      <c r="C2643" t="s">
        <v>8453</v>
      </c>
      <c r="D2643" t="s">
        <v>8454</v>
      </c>
      <c r="E2643" t="s">
        <v>1545</v>
      </c>
      <c r="F2643" t="s">
        <v>12</v>
      </c>
      <c r="G2643" t="s">
        <v>11</v>
      </c>
      <c r="H2643">
        <f>26387*(1.01^10)</f>
        <v>29147.664023225461</v>
      </c>
      <c r="I2643">
        <f>140908*(1.01^10)</f>
        <v>155650.09444744204</v>
      </c>
      <c r="J2643" t="s">
        <v>1140</v>
      </c>
      <c r="K2643">
        <f t="shared" si="41"/>
        <v>1017.3208787414512</v>
      </c>
    </row>
    <row r="2644" spans="1:11" x14ac:dyDescent="0.2">
      <c r="A2644" t="s">
        <v>422</v>
      </c>
      <c r="B2644" t="s">
        <v>160</v>
      </c>
      <c r="C2644" t="s">
        <v>8455</v>
      </c>
      <c r="D2644" t="s">
        <v>8456</v>
      </c>
      <c r="E2644" t="s">
        <v>667</v>
      </c>
      <c r="F2644" t="s">
        <v>313</v>
      </c>
      <c r="G2644" t="s">
        <v>382</v>
      </c>
      <c r="H2644">
        <f>80809*(1.01^10)</f>
        <v>89263.409332354044</v>
      </c>
      <c r="I2644">
        <f>426613*(1.01^10)</f>
        <v>471246.15878805029</v>
      </c>
      <c r="J2644" t="s">
        <v>8457</v>
      </c>
      <c r="K2644">
        <f t="shared" si="41"/>
        <v>1035.9953316272777</v>
      </c>
    </row>
    <row r="2645" spans="1:11" x14ac:dyDescent="0.2">
      <c r="A2645" t="s">
        <v>422</v>
      </c>
      <c r="B2645" t="s">
        <v>8458</v>
      </c>
      <c r="C2645" t="s">
        <v>8459</v>
      </c>
      <c r="D2645" t="s">
        <v>8460</v>
      </c>
      <c r="E2645" t="s">
        <v>998</v>
      </c>
      <c r="F2645" t="s">
        <v>17</v>
      </c>
      <c r="G2645" t="s">
        <v>12</v>
      </c>
      <c r="H2645">
        <f>24556*(1.01^10)</f>
        <v>27125.100911597543</v>
      </c>
      <c r="I2645">
        <f>138454*(1.01^10)</f>
        <v>152939.35175168293</v>
      </c>
      <c r="J2645" t="s">
        <v>8461</v>
      </c>
      <c r="K2645">
        <f t="shared" si="41"/>
        <v>486.45654169893743</v>
      </c>
    </row>
    <row r="2646" spans="1:11" x14ac:dyDescent="0.2">
      <c r="A2646" t="s">
        <v>422</v>
      </c>
      <c r="B2646" t="s">
        <v>8458</v>
      </c>
      <c r="C2646" t="s">
        <v>8462</v>
      </c>
      <c r="D2646" t="s">
        <v>8463</v>
      </c>
      <c r="E2646" t="s">
        <v>422</v>
      </c>
      <c r="F2646" t="s">
        <v>12</v>
      </c>
      <c r="G2646" t="s">
        <v>6</v>
      </c>
      <c r="H2646">
        <f>25316*(1.01^10)</f>
        <v>27964.613726910058</v>
      </c>
      <c r="I2646">
        <f>132162*(1.01^10)</f>
        <v>145989.06933859564</v>
      </c>
      <c r="J2646" t="s">
        <v>8464</v>
      </c>
      <c r="K2646">
        <f t="shared" si="41"/>
        <v>1207.9884879389363</v>
      </c>
    </row>
    <row r="2647" spans="1:11" x14ac:dyDescent="0.2">
      <c r="A2647" t="s">
        <v>422</v>
      </c>
      <c r="B2647" t="s">
        <v>8458</v>
      </c>
      <c r="C2647" t="s">
        <v>8465</v>
      </c>
      <c r="D2647" t="s">
        <v>8466</v>
      </c>
      <c r="E2647" t="s">
        <v>11</v>
      </c>
      <c r="F2647" t="s">
        <v>24</v>
      </c>
      <c r="G2647" t="s">
        <v>92</v>
      </c>
      <c r="H2647">
        <f>35758*(1.01^10)</f>
        <v>39499.077960453862</v>
      </c>
      <c r="I2647">
        <f>189777*(1.01^10)</f>
        <v>209631.87309416221</v>
      </c>
      <c r="J2647" t="s">
        <v>8467</v>
      </c>
      <c r="K2647">
        <f t="shared" si="41"/>
        <v>2145.6325183210351</v>
      </c>
    </row>
    <row r="2648" spans="1:11" x14ac:dyDescent="0.2">
      <c r="A2648" t="s">
        <v>422</v>
      </c>
      <c r="B2648" t="s">
        <v>8458</v>
      </c>
      <c r="C2648" t="s">
        <v>8468</v>
      </c>
      <c r="D2648" t="s">
        <v>8469</v>
      </c>
      <c r="E2648" t="s">
        <v>1617</v>
      </c>
      <c r="F2648" t="s">
        <v>405</v>
      </c>
      <c r="G2648" t="s">
        <v>92</v>
      </c>
      <c r="H2648">
        <f>42962*(1.01^10)</f>
        <v>47456.775751916175</v>
      </c>
      <c r="I2648">
        <f>231185*(1.01^10)</f>
        <v>255372.06606318936</v>
      </c>
      <c r="J2648" t="s">
        <v>8470</v>
      </c>
      <c r="K2648">
        <f t="shared" si="41"/>
        <v>377.12120124117365</v>
      </c>
    </row>
    <row r="2649" spans="1:11" x14ac:dyDescent="0.2">
      <c r="A2649" t="s">
        <v>422</v>
      </c>
      <c r="B2649" t="s">
        <v>8458</v>
      </c>
      <c r="C2649" t="s">
        <v>8471</v>
      </c>
      <c r="D2649" t="s">
        <v>8472</v>
      </c>
      <c r="E2649" t="s">
        <v>425</v>
      </c>
      <c r="F2649" t="s">
        <v>17</v>
      </c>
      <c r="G2649" t="s">
        <v>12</v>
      </c>
      <c r="H2649">
        <f>25706*(1.01^10)</f>
        <v>28395.416355820431</v>
      </c>
      <c r="I2649">
        <f>132150*(1.01^10)</f>
        <v>145975.81387309069</v>
      </c>
      <c r="J2649" t="s">
        <v>8473</v>
      </c>
      <c r="K2649">
        <f t="shared" si="41"/>
        <v>457.60145145119833</v>
      </c>
    </row>
    <row r="2650" spans="1:11" x14ac:dyDescent="0.2">
      <c r="A2650" t="s">
        <v>422</v>
      </c>
      <c r="B2650" t="s">
        <v>8458</v>
      </c>
      <c r="C2650" t="s">
        <v>8474</v>
      </c>
      <c r="D2650" t="s">
        <v>8475</v>
      </c>
      <c r="E2650" t="s">
        <v>232</v>
      </c>
      <c r="F2650" t="s">
        <v>17</v>
      </c>
      <c r="G2650" t="s">
        <v>24</v>
      </c>
      <c r="H2650">
        <f>18237*(1.01^10)</f>
        <v>20144.993701124142</v>
      </c>
      <c r="I2650">
        <f>89974*(1.01^10)</f>
        <v>99387.27111174773</v>
      </c>
      <c r="J2650" t="s">
        <v>8476</v>
      </c>
      <c r="K2650">
        <f t="shared" si="41"/>
        <v>496.47083355636613</v>
      </c>
    </row>
    <row r="2651" spans="1:11" x14ac:dyDescent="0.2">
      <c r="A2651" t="s">
        <v>422</v>
      </c>
      <c r="B2651" t="s">
        <v>8458</v>
      </c>
      <c r="C2651" t="s">
        <v>8477</v>
      </c>
      <c r="D2651" t="s">
        <v>8478</v>
      </c>
      <c r="E2651" t="s">
        <v>142</v>
      </c>
      <c r="F2651" t="s">
        <v>12</v>
      </c>
      <c r="G2651" t="s">
        <v>11</v>
      </c>
      <c r="H2651">
        <f>21136*(1.01^10)</f>
        <v>23347.293242691223</v>
      </c>
      <c r="I2651">
        <f>104988*(1.01^10)</f>
        <v>115972.06770267157</v>
      </c>
      <c r="J2651" t="s">
        <v>8479</v>
      </c>
      <c r="K2651">
        <f t="shared" si="41"/>
        <v>576.02521995207758</v>
      </c>
    </row>
    <row r="2652" spans="1:11" x14ac:dyDescent="0.2">
      <c r="A2652" t="s">
        <v>422</v>
      </c>
      <c r="B2652" t="s">
        <v>8458</v>
      </c>
      <c r="C2652" t="s">
        <v>8480</v>
      </c>
      <c r="D2652" t="s">
        <v>8481</v>
      </c>
      <c r="E2652" t="s">
        <v>282</v>
      </c>
      <c r="F2652" t="s">
        <v>24</v>
      </c>
      <c r="G2652" t="s">
        <v>11</v>
      </c>
      <c r="H2652">
        <f>158059*(1.01^10)</f>
        <v>174595.46852036961</v>
      </c>
      <c r="I2652">
        <f>813402*(1.01^10)</f>
        <v>898501.84605372476</v>
      </c>
      <c r="J2652" t="s">
        <v>8482</v>
      </c>
      <c r="K2652">
        <f t="shared" si="41"/>
        <v>1557.770064792107</v>
      </c>
    </row>
    <row r="2653" spans="1:11" x14ac:dyDescent="0.2">
      <c r="A2653" t="s">
        <v>422</v>
      </c>
      <c r="B2653" t="s">
        <v>8458</v>
      </c>
      <c r="C2653" t="s">
        <v>8483</v>
      </c>
      <c r="D2653" t="s">
        <v>8484</v>
      </c>
      <c r="E2653" t="s">
        <v>479</v>
      </c>
      <c r="F2653" t="s">
        <v>158</v>
      </c>
      <c r="G2653" t="s">
        <v>17</v>
      </c>
      <c r="H2653">
        <f>43188*(1.01^10)</f>
        <v>47706.420352259112</v>
      </c>
      <c r="I2653">
        <f>230238*(1.01^10)</f>
        <v>254325.98891042496</v>
      </c>
      <c r="J2653" t="s">
        <v>8485</v>
      </c>
      <c r="K2653">
        <f t="shared" si="41"/>
        <v>677.15452305750944</v>
      </c>
    </row>
    <row r="2654" spans="1:11" x14ac:dyDescent="0.2">
      <c r="A2654" t="s">
        <v>422</v>
      </c>
      <c r="B2654" t="s">
        <v>8486</v>
      </c>
      <c r="C2654" t="s">
        <v>8487</v>
      </c>
      <c r="D2654" t="s">
        <v>8488</v>
      </c>
      <c r="E2654" t="s">
        <v>126</v>
      </c>
      <c r="F2654" t="s">
        <v>24</v>
      </c>
      <c r="G2654" t="s">
        <v>24</v>
      </c>
      <c r="H2654">
        <f>10680*(1.01^10)</f>
        <v>11797.364299391667</v>
      </c>
      <c r="I2654">
        <f>54959*(1.01^10)</f>
        <v>60708.927390474404</v>
      </c>
      <c r="J2654" t="s">
        <v>8489</v>
      </c>
      <c r="K2654">
        <f t="shared" si="41"/>
        <v>251.48638692621282</v>
      </c>
    </row>
    <row r="2655" spans="1:11" x14ac:dyDescent="0.2">
      <c r="A2655" t="s">
        <v>422</v>
      </c>
      <c r="B2655" t="s">
        <v>8486</v>
      </c>
      <c r="C2655" t="s">
        <v>8490</v>
      </c>
      <c r="D2655" t="s">
        <v>8491</v>
      </c>
      <c r="E2655" t="s">
        <v>1106</v>
      </c>
      <c r="F2655" t="s">
        <v>12</v>
      </c>
      <c r="G2655" t="s">
        <v>24</v>
      </c>
      <c r="H2655">
        <f>5848*(1.01^10)</f>
        <v>6459.8301894047254</v>
      </c>
      <c r="I2655">
        <f>31057*(1.01^10)</f>
        <v>34306.249348895784</v>
      </c>
      <c r="J2655" t="s">
        <v>8492</v>
      </c>
      <c r="K2655">
        <f t="shared" si="41"/>
        <v>86.561730771422305</v>
      </c>
    </row>
    <row r="2656" spans="1:11" x14ac:dyDescent="0.2">
      <c r="A2656" t="s">
        <v>422</v>
      </c>
      <c r="B2656" t="s">
        <v>8486</v>
      </c>
      <c r="C2656" t="s">
        <v>8493</v>
      </c>
      <c r="D2656" t="s">
        <v>8494</v>
      </c>
      <c r="E2656" t="s">
        <v>137</v>
      </c>
      <c r="F2656" t="s">
        <v>24</v>
      </c>
      <c r="G2656" t="s">
        <v>24</v>
      </c>
      <c r="H2656">
        <f>16198*(1.01^10)</f>
        <v>17892.669187410695</v>
      </c>
      <c r="I2656">
        <f>84827*(1.01^10)</f>
        <v>93701.781032256258</v>
      </c>
      <c r="J2656" t="s">
        <v>8495</v>
      </c>
      <c r="K2656">
        <f t="shared" si="41"/>
        <v>448.78966993696179</v>
      </c>
    </row>
    <row r="2657" spans="1:11" x14ac:dyDescent="0.2">
      <c r="A2657" t="s">
        <v>422</v>
      </c>
      <c r="B2657" t="s">
        <v>8486</v>
      </c>
      <c r="C2657" t="s">
        <v>8496</v>
      </c>
      <c r="D2657" t="s">
        <v>8497</v>
      </c>
      <c r="E2657" t="s">
        <v>427</v>
      </c>
      <c r="F2657" t="s">
        <v>24</v>
      </c>
      <c r="G2657" t="s">
        <v>24</v>
      </c>
      <c r="H2657">
        <f>7190*(1.01^10)</f>
        <v>7942.2330817065622</v>
      </c>
      <c r="I2657">
        <f>37867*(1.01^10)</f>
        <v>41828.726022946088</v>
      </c>
      <c r="J2657" t="s">
        <v>8498</v>
      </c>
      <c r="K2657">
        <f t="shared" si="41"/>
        <v>271.40004377868985</v>
      </c>
    </row>
    <row r="2658" spans="1:11" x14ac:dyDescent="0.2">
      <c r="A2658" t="s">
        <v>422</v>
      </c>
      <c r="B2658" t="s">
        <v>8486</v>
      </c>
      <c r="C2658" t="s">
        <v>8499</v>
      </c>
      <c r="D2658" t="s">
        <v>8500</v>
      </c>
      <c r="E2658" t="s">
        <v>142</v>
      </c>
      <c r="F2658" t="s">
        <v>24</v>
      </c>
      <c r="G2658" t="s">
        <v>12</v>
      </c>
      <c r="H2658">
        <f>24241*(1.01^10)</f>
        <v>26777.144942093015</v>
      </c>
      <c r="I2658">
        <f>126009*(1.01^10)</f>
        <v>139192.32940094051</v>
      </c>
      <c r="J2658" t="s">
        <v>8501</v>
      </c>
      <c r="K2658">
        <f t="shared" si="41"/>
        <v>1004.3196704185754</v>
      </c>
    </row>
    <row r="2659" spans="1:11" x14ac:dyDescent="0.2">
      <c r="A2659" t="s">
        <v>422</v>
      </c>
      <c r="B2659" t="s">
        <v>8486</v>
      </c>
      <c r="C2659" t="s">
        <v>8502</v>
      </c>
      <c r="D2659" t="s">
        <v>8503</v>
      </c>
      <c r="E2659" t="s">
        <v>619</v>
      </c>
      <c r="F2659" t="s">
        <v>24</v>
      </c>
      <c r="G2659" t="s">
        <v>24</v>
      </c>
      <c r="H2659">
        <f>13278*(1.01^10)</f>
        <v>14667.172581209976</v>
      </c>
      <c r="I2659">
        <f>69768*(1.01^10)</f>
        <v>77067.276445688927</v>
      </c>
      <c r="J2659" t="s">
        <v>8504</v>
      </c>
      <c r="K2659">
        <f t="shared" si="41"/>
        <v>384.9336081004252</v>
      </c>
    </row>
    <row r="2660" spans="1:11" x14ac:dyDescent="0.2">
      <c r="A2660" t="s">
        <v>422</v>
      </c>
      <c r="B2660" t="s">
        <v>8486</v>
      </c>
      <c r="C2660" t="s">
        <v>8505</v>
      </c>
      <c r="D2660" t="s">
        <v>8506</v>
      </c>
      <c r="E2660" t="s">
        <v>789</v>
      </c>
      <c r="F2660" t="s">
        <v>24</v>
      </c>
      <c r="G2660" t="s">
        <v>24</v>
      </c>
      <c r="H2660">
        <f>11203*(1.01^10)</f>
        <v>12375.081670981726</v>
      </c>
      <c r="I2660">
        <f>57303*(1.01^10)</f>
        <v>63298.161652438263</v>
      </c>
      <c r="J2660" t="s">
        <v>8507</v>
      </c>
      <c r="K2660">
        <f t="shared" si="41"/>
        <v>389.36983584213067</v>
      </c>
    </row>
    <row r="2661" spans="1:11" x14ac:dyDescent="0.2">
      <c r="A2661" t="s">
        <v>422</v>
      </c>
      <c r="B2661" t="s">
        <v>1098</v>
      </c>
      <c r="C2661" t="s">
        <v>8508</v>
      </c>
      <c r="D2661" t="s">
        <v>8509</v>
      </c>
      <c r="E2661" t="s">
        <v>498</v>
      </c>
      <c r="F2661" t="s">
        <v>92</v>
      </c>
      <c r="G2661" t="s">
        <v>24</v>
      </c>
      <c r="H2661">
        <f>17042*(1.01^10)</f>
        <v>18824.970261257753</v>
      </c>
      <c r="I2661">
        <f>82876*(1.01^10)</f>
        <v>91546.663265579002</v>
      </c>
      <c r="J2661" t="s">
        <v>8510</v>
      </c>
      <c r="K2661">
        <f t="shared" si="41"/>
        <v>415.56843829221822</v>
      </c>
    </row>
    <row r="2662" spans="1:11" x14ac:dyDescent="0.2">
      <c r="A2662" t="s">
        <v>422</v>
      </c>
      <c r="B2662" t="s">
        <v>1098</v>
      </c>
      <c r="C2662" t="s">
        <v>8511</v>
      </c>
      <c r="D2662" t="s">
        <v>8512</v>
      </c>
      <c r="E2662" t="s">
        <v>1106</v>
      </c>
      <c r="F2662" t="s">
        <v>24</v>
      </c>
      <c r="G2662" t="s">
        <v>24</v>
      </c>
      <c r="H2662">
        <f>14030*(1.01^10)</f>
        <v>15497.848419519203</v>
      </c>
      <c r="I2662">
        <f>69013*(1.01^10)</f>
        <v>76233.286741003467</v>
      </c>
      <c r="J2662" t="s">
        <v>8513</v>
      </c>
      <c r="K2662">
        <f t="shared" si="41"/>
        <v>273.17723572319818</v>
      </c>
    </row>
    <row r="2663" spans="1:11" x14ac:dyDescent="0.2">
      <c r="A2663" t="s">
        <v>422</v>
      </c>
      <c r="B2663" t="s">
        <v>1098</v>
      </c>
      <c r="C2663" t="s">
        <v>8514</v>
      </c>
      <c r="D2663" t="s">
        <v>8515</v>
      </c>
      <c r="E2663" t="s">
        <v>1101</v>
      </c>
      <c r="F2663" t="s">
        <v>24</v>
      </c>
      <c r="G2663" t="s">
        <v>405</v>
      </c>
      <c r="H2663">
        <f>254985*(1.01^10)</f>
        <v>281662.07264797605</v>
      </c>
      <c r="I2663">
        <f>1260201*(1.01^10)</f>
        <v>1392045.9070653256</v>
      </c>
      <c r="J2663" t="s">
        <v>8516</v>
      </c>
      <c r="K2663">
        <f t="shared" si="41"/>
        <v>3946.5063900926925</v>
      </c>
    </row>
    <row r="2664" spans="1:11" x14ac:dyDescent="0.2">
      <c r="A2664" t="s">
        <v>422</v>
      </c>
      <c r="B2664" t="s">
        <v>1098</v>
      </c>
      <c r="C2664" t="s">
        <v>8517</v>
      </c>
      <c r="D2664" t="s">
        <v>8518</v>
      </c>
      <c r="E2664" t="s">
        <v>453</v>
      </c>
      <c r="F2664" t="s">
        <v>92</v>
      </c>
      <c r="G2664" t="s">
        <v>12</v>
      </c>
      <c r="H2664">
        <f>28246*(1.01^10)</f>
        <v>31201.15655436489</v>
      </c>
      <c r="I2664">
        <f>129905*(1.01^10)</f>
        <v>143495.93720154255</v>
      </c>
      <c r="J2664" t="s">
        <v>8519</v>
      </c>
      <c r="K2664">
        <f t="shared" si="41"/>
        <v>412.76621147109108</v>
      </c>
    </row>
    <row r="2665" spans="1:11" x14ac:dyDescent="0.2">
      <c r="A2665" t="s">
        <v>422</v>
      </c>
      <c r="B2665" t="s">
        <v>1098</v>
      </c>
      <c r="C2665" t="s">
        <v>8520</v>
      </c>
      <c r="D2665" t="s">
        <v>8521</v>
      </c>
      <c r="E2665" t="s">
        <v>1370</v>
      </c>
      <c r="F2665" t="s">
        <v>152</v>
      </c>
      <c r="G2665" t="s">
        <v>12</v>
      </c>
      <c r="H2665">
        <f>41387*(1.01^10)</f>
        <v>45716.995904393531</v>
      </c>
      <c r="I2665">
        <f>199612*(1.01^10)</f>
        <v>220495.83169758139</v>
      </c>
      <c r="J2665" t="s">
        <v>8522</v>
      </c>
      <c r="K2665">
        <f t="shared" si="41"/>
        <v>361.50214754597141</v>
      </c>
    </row>
    <row r="2666" spans="1:11" x14ac:dyDescent="0.2">
      <c r="A2666" t="s">
        <v>422</v>
      </c>
      <c r="B2666" t="s">
        <v>1098</v>
      </c>
      <c r="C2666" t="s">
        <v>8523</v>
      </c>
      <c r="D2666" t="s">
        <v>8524</v>
      </c>
      <c r="E2666" t="s">
        <v>131</v>
      </c>
      <c r="F2666" t="s">
        <v>24</v>
      </c>
      <c r="G2666" t="s">
        <v>17</v>
      </c>
      <c r="H2666">
        <f>22480*(1.01^10)</f>
        <v>24831.905379243883</v>
      </c>
      <c r="I2666">
        <f>107084*(1.01^10)</f>
        <v>118287.35567753344</v>
      </c>
      <c r="J2666" t="s">
        <v>8525</v>
      </c>
      <c r="K2666">
        <f t="shared" si="41"/>
        <v>494.18610396477595</v>
      </c>
    </row>
    <row r="2667" spans="1:11" x14ac:dyDescent="0.2">
      <c r="A2667" t="s">
        <v>422</v>
      </c>
      <c r="B2667" t="s">
        <v>1098</v>
      </c>
      <c r="C2667" t="s">
        <v>8526</v>
      </c>
      <c r="D2667" t="s">
        <v>5189</v>
      </c>
      <c r="E2667" t="s">
        <v>2395</v>
      </c>
      <c r="F2667" t="s">
        <v>24</v>
      </c>
      <c r="G2667" t="s">
        <v>24</v>
      </c>
      <c r="H2667">
        <f>12457*(1.01^10)</f>
        <v>13760.277816247377</v>
      </c>
      <c r="I2667">
        <f>62128*(1.01^10)</f>
        <v>68627.96340754733</v>
      </c>
      <c r="J2667" t="s">
        <v>8527</v>
      </c>
      <c r="K2667">
        <f t="shared" si="41"/>
        <v>209.01514000613224</v>
      </c>
    </row>
    <row r="2668" spans="1:11" x14ac:dyDescent="0.2">
      <c r="A2668" t="s">
        <v>422</v>
      </c>
      <c r="B2668" t="s">
        <v>1098</v>
      </c>
      <c r="C2668" t="s">
        <v>8528</v>
      </c>
      <c r="D2668" t="s">
        <v>8529</v>
      </c>
      <c r="E2668" t="s">
        <v>489</v>
      </c>
      <c r="F2668" t="s">
        <v>158</v>
      </c>
      <c r="G2668" t="s">
        <v>24</v>
      </c>
      <c r="H2668">
        <f>13390*(1.01^10)</f>
        <v>14790.890259256032</v>
      </c>
      <c r="I2668">
        <f>61932*(1.01^10)</f>
        <v>68411.457470966736</v>
      </c>
      <c r="J2668" t="s">
        <v>8530</v>
      </c>
      <c r="K2668">
        <f t="shared" si="41"/>
        <v>382.68778026854091</v>
      </c>
    </row>
    <row r="2669" spans="1:11" x14ac:dyDescent="0.2">
      <c r="A2669" t="s">
        <v>422</v>
      </c>
      <c r="B2669" t="s">
        <v>1098</v>
      </c>
      <c r="C2669" t="s">
        <v>8531</v>
      </c>
      <c r="D2669" t="s">
        <v>8532</v>
      </c>
      <c r="E2669" t="s">
        <v>253</v>
      </c>
      <c r="F2669" t="s">
        <v>108</v>
      </c>
      <c r="G2669" t="s">
        <v>24</v>
      </c>
      <c r="H2669">
        <f>9176*(1.01^10)</f>
        <v>10136.012622773214</v>
      </c>
      <c r="I2669">
        <f>43001*(1.01^10)</f>
        <v>47499.856014807214</v>
      </c>
      <c r="J2669" t="s">
        <v>8533</v>
      </c>
      <c r="K2669">
        <f t="shared" si="41"/>
        <v>211.33398624249497</v>
      </c>
    </row>
    <row r="2670" spans="1:11" x14ac:dyDescent="0.2">
      <c r="A2670" t="s">
        <v>422</v>
      </c>
      <c r="B2670" t="s">
        <v>1098</v>
      </c>
      <c r="C2670" t="s">
        <v>8534</v>
      </c>
      <c r="D2670" t="s">
        <v>8535</v>
      </c>
      <c r="E2670" t="s">
        <v>1410</v>
      </c>
      <c r="F2670" t="s">
        <v>382</v>
      </c>
      <c r="G2670" t="s">
        <v>12</v>
      </c>
      <c r="H2670">
        <f>28544*(1.01^10)</f>
        <v>31530.333947737428</v>
      </c>
      <c r="I2670">
        <f>125116*(1.01^10)</f>
        <v>138205.90184294828</v>
      </c>
      <c r="J2670" t="s">
        <v>8536</v>
      </c>
      <c r="K2670">
        <f t="shared" si="41"/>
        <v>321.90794886401534</v>
      </c>
    </row>
    <row r="2671" spans="1:11" x14ac:dyDescent="0.2">
      <c r="A2671" t="s">
        <v>422</v>
      </c>
      <c r="B2671" t="s">
        <v>1098</v>
      </c>
      <c r="C2671" t="s">
        <v>8537</v>
      </c>
      <c r="D2671" t="s">
        <v>8538</v>
      </c>
      <c r="E2671" t="s">
        <v>639</v>
      </c>
      <c r="F2671" t="s">
        <v>287</v>
      </c>
      <c r="G2671" t="s">
        <v>24</v>
      </c>
      <c r="H2671">
        <f>35194*(1.01^10)</f>
        <v>38876.071081721937</v>
      </c>
      <c r="I2671">
        <f>153051*(1.01^10)</f>
        <v>169063.52091631028</v>
      </c>
      <c r="J2671" t="s">
        <v>8539</v>
      </c>
      <c r="K2671">
        <f t="shared" si="41"/>
        <v>480.60787364268685</v>
      </c>
    </row>
    <row r="2672" spans="1:11" x14ac:dyDescent="0.2">
      <c r="A2672" t="s">
        <v>422</v>
      </c>
      <c r="B2672" t="s">
        <v>900</v>
      </c>
      <c r="C2672" t="s">
        <v>8540</v>
      </c>
      <c r="D2672" t="s">
        <v>8541</v>
      </c>
      <c r="E2672" t="s">
        <v>1140</v>
      </c>
      <c r="F2672" t="s">
        <v>796</v>
      </c>
      <c r="G2672" t="s">
        <v>12</v>
      </c>
      <c r="H2672">
        <f>27133*(1.01^10)</f>
        <v>29971.712128782219</v>
      </c>
      <c r="I2672">
        <f>162290*(1.01^10)</f>
        <v>179269.1247329844</v>
      </c>
      <c r="J2672" t="s">
        <v>8542</v>
      </c>
      <c r="K2672">
        <f t="shared" si="41"/>
        <v>701.90489519783591</v>
      </c>
    </row>
    <row r="2673" spans="1:11" x14ac:dyDescent="0.2">
      <c r="A2673" t="s">
        <v>422</v>
      </c>
      <c r="B2673" t="s">
        <v>900</v>
      </c>
      <c r="C2673" t="s">
        <v>8543</v>
      </c>
      <c r="D2673" t="s">
        <v>8544</v>
      </c>
      <c r="E2673" t="s">
        <v>91</v>
      </c>
      <c r="F2673" t="s">
        <v>92</v>
      </c>
      <c r="G2673" t="s">
        <v>24</v>
      </c>
      <c r="H2673">
        <f>11898*(1.01^10)</f>
        <v>13142.794048142514</v>
      </c>
      <c r="I2673">
        <f>74031*(1.01^10)</f>
        <v>81776.280566316898</v>
      </c>
      <c r="J2673" t="s">
        <v>8545</v>
      </c>
      <c r="K2673">
        <f t="shared" si="41"/>
        <v>580.73601902234032</v>
      </c>
    </row>
    <row r="2674" spans="1:11" x14ac:dyDescent="0.2">
      <c r="A2674" t="s">
        <v>422</v>
      </c>
      <c r="B2674" t="s">
        <v>900</v>
      </c>
      <c r="C2674" t="s">
        <v>8546</v>
      </c>
      <c r="D2674" t="s">
        <v>8547</v>
      </c>
      <c r="E2674" t="s">
        <v>176</v>
      </c>
      <c r="F2674" t="s">
        <v>12</v>
      </c>
      <c r="G2674" t="s">
        <v>24</v>
      </c>
      <c r="H2674">
        <f>7934*(1.01^10)</f>
        <v>8764.0719430124991</v>
      </c>
      <c r="I2674">
        <f>47315*(1.01^10)</f>
        <v>52265.195863831155</v>
      </c>
      <c r="J2674" t="s">
        <v>8548</v>
      </c>
      <c r="K2674">
        <f t="shared" si="41"/>
        <v>518.06499291984676</v>
      </c>
    </row>
    <row r="2675" spans="1:11" x14ac:dyDescent="0.2">
      <c r="A2675" t="s">
        <v>422</v>
      </c>
      <c r="B2675" t="s">
        <v>900</v>
      </c>
      <c r="C2675" t="s">
        <v>8549</v>
      </c>
      <c r="D2675" t="s">
        <v>8550</v>
      </c>
      <c r="E2675" t="s">
        <v>410</v>
      </c>
      <c r="F2675" t="s">
        <v>318</v>
      </c>
      <c r="G2675" t="s">
        <v>12</v>
      </c>
      <c r="H2675">
        <f>12988*(1.01^10)</f>
        <v>14346.832164840727</v>
      </c>
      <c r="I2675">
        <f>74203*(1.01^10)</f>
        <v>81966.275571887629</v>
      </c>
      <c r="J2675" t="s">
        <v>8551</v>
      </c>
      <c r="K2675">
        <f t="shared" si="41"/>
        <v>590.99695904928114</v>
      </c>
    </row>
    <row r="2676" spans="1:11" x14ac:dyDescent="0.2">
      <c r="A2676" t="s">
        <v>422</v>
      </c>
      <c r="B2676" t="s">
        <v>900</v>
      </c>
      <c r="C2676" t="s">
        <v>8552</v>
      </c>
      <c r="D2676" t="s">
        <v>3999</v>
      </c>
      <c r="E2676" t="s">
        <v>1545</v>
      </c>
      <c r="F2676" t="s">
        <v>422</v>
      </c>
      <c r="G2676" t="s">
        <v>24</v>
      </c>
      <c r="H2676">
        <f>6602*(1.01^10)</f>
        <v>7292.7152719647738</v>
      </c>
      <c r="I2676">
        <f>36389*(1.01^10)</f>
        <v>40196.094521588333</v>
      </c>
      <c r="J2676" t="s">
        <v>8553</v>
      </c>
      <c r="K2676">
        <f t="shared" si="41"/>
        <v>499.51594836704339</v>
      </c>
    </row>
    <row r="2677" spans="1:11" x14ac:dyDescent="0.2">
      <c r="A2677" t="s">
        <v>422</v>
      </c>
      <c r="B2677" t="s">
        <v>900</v>
      </c>
      <c r="C2677" t="s">
        <v>8554</v>
      </c>
      <c r="D2677" t="s">
        <v>8555</v>
      </c>
      <c r="E2677" t="s">
        <v>1576</v>
      </c>
      <c r="F2677" t="s">
        <v>382</v>
      </c>
      <c r="G2677" t="s">
        <v>24</v>
      </c>
      <c r="H2677">
        <f>26535*(1.01^10)</f>
        <v>29311.148097786318</v>
      </c>
      <c r="I2677">
        <f>147459*(1.01^10)</f>
        <v>162886.47399101083</v>
      </c>
      <c r="J2677" t="s">
        <v>8556</v>
      </c>
      <c r="K2677">
        <f t="shared" si="41"/>
        <v>398.37631033705719</v>
      </c>
    </row>
    <row r="2678" spans="1:11" x14ac:dyDescent="0.2">
      <c r="A2678" t="s">
        <v>422</v>
      </c>
      <c r="B2678" t="s">
        <v>900</v>
      </c>
      <c r="C2678" t="s">
        <v>8557</v>
      </c>
      <c r="D2678" t="s">
        <v>8558</v>
      </c>
      <c r="E2678" t="s">
        <v>1060</v>
      </c>
      <c r="F2678" t="s">
        <v>6</v>
      </c>
      <c r="G2678" t="s">
        <v>24</v>
      </c>
      <c r="H2678">
        <f>13876*(1.01^10)</f>
        <v>15327.736612205877</v>
      </c>
      <c r="I2678">
        <f>73799*(1.01^10)</f>
        <v>81520.008233221495</v>
      </c>
      <c r="J2678" t="s">
        <v>8559</v>
      </c>
      <c r="K2678">
        <f t="shared" si="41"/>
        <v>320.82032931133909</v>
      </c>
    </row>
    <row r="2679" spans="1:11" x14ac:dyDescent="0.2">
      <c r="A2679" t="s">
        <v>422</v>
      </c>
      <c r="B2679" t="s">
        <v>900</v>
      </c>
      <c r="C2679" t="s">
        <v>8560</v>
      </c>
      <c r="D2679" t="s">
        <v>8561</v>
      </c>
      <c r="E2679" t="s">
        <v>91</v>
      </c>
      <c r="F2679" t="s">
        <v>5</v>
      </c>
      <c r="G2679" t="s">
        <v>24</v>
      </c>
      <c r="H2679">
        <f>12134*(1.01^10)</f>
        <v>13403.484869739559</v>
      </c>
      <c r="I2679">
        <f>67886*(1.01^10)</f>
        <v>74988.377605665039</v>
      </c>
      <c r="J2679" t="s">
        <v>8562</v>
      </c>
      <c r="K2679">
        <f t="shared" si="41"/>
        <v>469.38322276740024</v>
      </c>
    </row>
    <row r="2680" spans="1:11" x14ac:dyDescent="0.2">
      <c r="A2680" t="s">
        <v>422</v>
      </c>
      <c r="B2680" t="s">
        <v>900</v>
      </c>
      <c r="C2680" t="s">
        <v>8563</v>
      </c>
      <c r="D2680" t="s">
        <v>8564</v>
      </c>
      <c r="E2680" t="s">
        <v>427</v>
      </c>
      <c r="F2680" t="s">
        <v>12</v>
      </c>
      <c r="G2680" t="s">
        <v>24</v>
      </c>
      <c r="H2680">
        <f>7223*(1.01^10)</f>
        <v>7978.6856118451315</v>
      </c>
      <c r="I2680">
        <f>38888*(1.01^10)</f>
        <v>42956.545212990932</v>
      </c>
      <c r="J2680" t="s">
        <v>8565</v>
      </c>
      <c r="K2680">
        <f t="shared" si="41"/>
        <v>552.59795163098249</v>
      </c>
    </row>
    <row r="2681" spans="1:11" x14ac:dyDescent="0.2">
      <c r="A2681" t="s">
        <v>422</v>
      </c>
      <c r="B2681" t="s">
        <v>900</v>
      </c>
      <c r="C2681" t="s">
        <v>8566</v>
      </c>
      <c r="D2681" t="s">
        <v>8567</v>
      </c>
      <c r="E2681" t="s">
        <v>164</v>
      </c>
      <c r="F2681" t="s">
        <v>152</v>
      </c>
      <c r="G2681" t="s">
        <v>12</v>
      </c>
      <c r="H2681">
        <f>18461*(1.01^10)</f>
        <v>20392.42905721625</v>
      </c>
      <c r="I2681">
        <f>104983*(1.01^10)</f>
        <v>115966.54459204451</v>
      </c>
      <c r="J2681" t="s">
        <v>8568</v>
      </c>
      <c r="K2681">
        <f t="shared" si="41"/>
        <v>637.47717144184855</v>
      </c>
    </row>
    <row r="2682" spans="1:11" x14ac:dyDescent="0.2">
      <c r="A2682" t="s">
        <v>422</v>
      </c>
      <c r="B2682" t="s">
        <v>900</v>
      </c>
      <c r="C2682" t="s">
        <v>8569</v>
      </c>
      <c r="D2682" t="s">
        <v>8570</v>
      </c>
      <c r="E2682" t="s">
        <v>333</v>
      </c>
      <c r="F2682" t="s">
        <v>12</v>
      </c>
      <c r="G2682" t="s">
        <v>24</v>
      </c>
      <c r="H2682">
        <f>9113*(1.01^10)</f>
        <v>10066.421428872309</v>
      </c>
      <c r="I2682">
        <f>50345*(1.01^10)</f>
        <v>55612.200903827106</v>
      </c>
      <c r="J2682" t="s">
        <v>8571</v>
      </c>
      <c r="K2682">
        <f t="shared" si="41"/>
        <v>340.4838768197227</v>
      </c>
    </row>
    <row r="2683" spans="1:11" x14ac:dyDescent="0.2">
      <c r="A2683" t="s">
        <v>422</v>
      </c>
      <c r="B2683" t="s">
        <v>900</v>
      </c>
      <c r="C2683" t="s">
        <v>8572</v>
      </c>
      <c r="D2683" t="s">
        <v>8573</v>
      </c>
      <c r="E2683" t="s">
        <v>759</v>
      </c>
      <c r="F2683" t="s">
        <v>382</v>
      </c>
      <c r="G2683" t="s">
        <v>24</v>
      </c>
      <c r="H2683">
        <f>25292*(1.01^10)</f>
        <v>27938.102795900191</v>
      </c>
      <c r="I2683">
        <f>134536*(1.01^10)</f>
        <v>148611.44226432184</v>
      </c>
      <c r="J2683" t="s">
        <v>8574</v>
      </c>
      <c r="K2683">
        <f t="shared" si="41"/>
        <v>484.36024792936638</v>
      </c>
    </row>
    <row r="2684" spans="1:11" x14ac:dyDescent="0.2">
      <c r="A2684" t="s">
        <v>422</v>
      </c>
      <c r="B2684" t="s">
        <v>900</v>
      </c>
      <c r="C2684" t="s">
        <v>8575</v>
      </c>
      <c r="D2684" t="s">
        <v>8576</v>
      </c>
      <c r="E2684" t="s">
        <v>520</v>
      </c>
      <c r="F2684" t="s">
        <v>24</v>
      </c>
      <c r="G2684" t="s">
        <v>24</v>
      </c>
      <c r="H2684">
        <f>9001*(1.01^10)</f>
        <v>9942.7037508262547</v>
      </c>
      <c r="I2684">
        <f>46957*(1.01^10)</f>
        <v>51869.741142933941</v>
      </c>
      <c r="J2684" t="s">
        <v>8577</v>
      </c>
      <c r="K2684">
        <f t="shared" si="41"/>
        <v>504.71414852293702</v>
      </c>
    </row>
    <row r="2685" spans="1:11" x14ac:dyDescent="0.2">
      <c r="A2685" t="s">
        <v>422</v>
      </c>
      <c r="B2685" t="s">
        <v>900</v>
      </c>
      <c r="C2685" t="s">
        <v>8578</v>
      </c>
      <c r="D2685" t="s">
        <v>8579</v>
      </c>
      <c r="E2685" t="s">
        <v>168</v>
      </c>
      <c r="F2685" t="s">
        <v>6</v>
      </c>
      <c r="G2685" t="s">
        <v>24</v>
      </c>
      <c r="H2685">
        <f>8874*(1.01^10)</f>
        <v>9802.4167408990306</v>
      </c>
      <c r="I2685">
        <f>46856*(1.01^10)</f>
        <v>51758.174308267407</v>
      </c>
      <c r="J2685" t="s">
        <v>8580</v>
      </c>
      <c r="K2685">
        <f t="shared" si="41"/>
        <v>192.62210087477999</v>
      </c>
    </row>
    <row r="2686" spans="1:11" x14ac:dyDescent="0.2">
      <c r="A2686" t="s">
        <v>422</v>
      </c>
      <c r="B2686" t="s">
        <v>900</v>
      </c>
      <c r="C2686" t="s">
        <v>8581</v>
      </c>
      <c r="D2686" t="s">
        <v>8582</v>
      </c>
      <c r="E2686" t="s">
        <v>32</v>
      </c>
      <c r="F2686" t="s">
        <v>405</v>
      </c>
      <c r="G2686" t="s">
        <v>24</v>
      </c>
      <c r="H2686">
        <f>16854*(1.01^10)</f>
        <v>18617.301301680443</v>
      </c>
      <c r="I2686">
        <f>81297*(1.01^10)</f>
        <v>89802.464929554713</v>
      </c>
      <c r="J2686" t="s">
        <v>8583</v>
      </c>
      <c r="K2686">
        <f t="shared" si="41"/>
        <v>422.4114804869514</v>
      </c>
    </row>
    <row r="2687" spans="1:11" x14ac:dyDescent="0.2">
      <c r="A2687" t="s">
        <v>422</v>
      </c>
      <c r="B2687" t="s">
        <v>900</v>
      </c>
      <c r="C2687" t="s">
        <v>8584</v>
      </c>
      <c r="D2687" t="s">
        <v>8585</v>
      </c>
      <c r="E2687" t="s">
        <v>971</v>
      </c>
      <c r="F2687" t="s">
        <v>411</v>
      </c>
      <c r="G2687" t="s">
        <v>24</v>
      </c>
      <c r="H2687">
        <f>30725*(1.01^10)</f>
        <v>33939.514803259262</v>
      </c>
      <c r="I2687">
        <f>157850*(1.01^10)</f>
        <v>174364.60249615868</v>
      </c>
      <c r="J2687" t="s">
        <v>8586</v>
      </c>
      <c r="K2687">
        <f t="shared" si="41"/>
        <v>399.4983837993027</v>
      </c>
    </row>
    <row r="2688" spans="1:11" x14ac:dyDescent="0.2">
      <c r="A2688" t="s">
        <v>422</v>
      </c>
      <c r="B2688" t="s">
        <v>900</v>
      </c>
      <c r="C2688" t="s">
        <v>8587</v>
      </c>
      <c r="D2688" t="s">
        <v>8588</v>
      </c>
      <c r="E2688" t="s">
        <v>1027</v>
      </c>
      <c r="F2688" t="s">
        <v>17</v>
      </c>
      <c r="G2688" t="s">
        <v>24</v>
      </c>
      <c r="H2688">
        <f>12673*(1.01^10)</f>
        <v>13998.876195336197</v>
      </c>
      <c r="I2688">
        <f>66417*(1.01^10)</f>
        <v>73365.687703435979</v>
      </c>
      <c r="J2688" t="s">
        <v>8589</v>
      </c>
      <c r="K2688">
        <f t="shared" si="41"/>
        <v>610.08647117212263</v>
      </c>
    </row>
    <row r="2689" spans="1:11" x14ac:dyDescent="0.2">
      <c r="A2689" t="s">
        <v>422</v>
      </c>
      <c r="B2689" t="s">
        <v>900</v>
      </c>
      <c r="C2689" t="s">
        <v>8590</v>
      </c>
      <c r="D2689" t="s">
        <v>8591</v>
      </c>
      <c r="E2689" t="s">
        <v>1960</v>
      </c>
      <c r="F2689" t="s">
        <v>11</v>
      </c>
      <c r="G2689" t="s">
        <v>24</v>
      </c>
      <c r="H2689">
        <f>20931*(1.01^10)</f>
        <v>23120.845706981927</v>
      </c>
      <c r="I2689">
        <f>100222*(1.01^10)</f>
        <v>110707.43865296176</v>
      </c>
      <c r="J2689" t="s">
        <v>8592</v>
      </c>
      <c r="K2689">
        <f t="shared" si="41"/>
        <v>620.36509393826691</v>
      </c>
    </row>
    <row r="2690" spans="1:11" x14ac:dyDescent="0.2">
      <c r="A2690" t="s">
        <v>422</v>
      </c>
      <c r="B2690" t="s">
        <v>900</v>
      </c>
      <c r="C2690" t="s">
        <v>8593</v>
      </c>
      <c r="D2690" t="s">
        <v>8594</v>
      </c>
      <c r="E2690" t="s">
        <v>91</v>
      </c>
      <c r="F2690" t="s">
        <v>17</v>
      </c>
      <c r="G2690" t="s">
        <v>5</v>
      </c>
      <c r="H2690">
        <f>37550*(1.01^10)</f>
        <v>41478.560809190742</v>
      </c>
      <c r="I2690">
        <f>201596*(1.01^10)</f>
        <v>222687.40199439722</v>
      </c>
      <c r="J2690" t="s">
        <v>8595</v>
      </c>
      <c r="K2690">
        <f t="shared" si="41"/>
        <v>1442.1382170012964</v>
      </c>
    </row>
    <row r="2691" spans="1:11" x14ac:dyDescent="0.2">
      <c r="A2691" t="s">
        <v>422</v>
      </c>
      <c r="B2691" t="s">
        <v>900</v>
      </c>
      <c r="C2691" t="s">
        <v>8596</v>
      </c>
      <c r="D2691" t="s">
        <v>5035</v>
      </c>
      <c r="E2691" t="s">
        <v>1115</v>
      </c>
      <c r="F2691" t="s">
        <v>108</v>
      </c>
      <c r="G2691" t="s">
        <v>17</v>
      </c>
      <c r="H2691">
        <f>42957*(1.01^10)</f>
        <v>47451.252641289124</v>
      </c>
      <c r="I2691">
        <f>226550*(1.01^10)</f>
        <v>250252.14251190843</v>
      </c>
      <c r="J2691" t="s">
        <v>8597</v>
      </c>
      <c r="K2691">
        <f t="shared" ref="K2691:K2754" si="42">I2691/J2691</f>
        <v>384.68068091448089</v>
      </c>
    </row>
    <row r="2692" spans="1:11" x14ac:dyDescent="0.2">
      <c r="A2692" t="s">
        <v>422</v>
      </c>
      <c r="B2692" t="s">
        <v>639</v>
      </c>
      <c r="C2692" t="s">
        <v>8598</v>
      </c>
      <c r="D2692" t="s">
        <v>8599</v>
      </c>
      <c r="E2692" t="s">
        <v>253</v>
      </c>
      <c r="F2692" t="s">
        <v>17</v>
      </c>
      <c r="G2692" t="s">
        <v>24</v>
      </c>
      <c r="H2692">
        <f>16185*(1.01^10)</f>
        <v>17878.309099780348</v>
      </c>
      <c r="I2692">
        <f>88095*(1.01^10)</f>
        <v>97311.686138100078</v>
      </c>
      <c r="J2692" t="s">
        <v>8600</v>
      </c>
      <c r="K2692">
        <f t="shared" si="42"/>
        <v>241.36446574214145</v>
      </c>
    </row>
    <row r="2693" spans="1:11" x14ac:dyDescent="0.2">
      <c r="A2693" t="s">
        <v>422</v>
      </c>
      <c r="B2693" t="s">
        <v>639</v>
      </c>
      <c r="C2693" t="s">
        <v>8601</v>
      </c>
      <c r="D2693" t="s">
        <v>8602</v>
      </c>
      <c r="E2693" t="s">
        <v>1195</v>
      </c>
      <c r="F2693" t="s">
        <v>12</v>
      </c>
      <c r="G2693" t="s">
        <v>12</v>
      </c>
      <c r="H2693">
        <f>19127*(1.01^10)</f>
        <v>21128.107392740112</v>
      </c>
      <c r="I2693">
        <f>98992*(1.01^10)</f>
        <v>109348.75343870599</v>
      </c>
      <c r="J2693" t="s">
        <v>8603</v>
      </c>
      <c r="K2693">
        <f t="shared" si="42"/>
        <v>160.2782467196518</v>
      </c>
    </row>
    <row r="2694" spans="1:11" x14ac:dyDescent="0.2">
      <c r="A2694" t="s">
        <v>422</v>
      </c>
      <c r="B2694" t="s">
        <v>639</v>
      </c>
      <c r="C2694" t="s">
        <v>8604</v>
      </c>
      <c r="D2694" t="s">
        <v>8605</v>
      </c>
      <c r="E2694" t="s">
        <v>368</v>
      </c>
      <c r="F2694" t="s">
        <v>92</v>
      </c>
      <c r="G2694" t="s">
        <v>24</v>
      </c>
      <c r="H2694">
        <f>13543*(1.01^10)</f>
        <v>14959.897444443946</v>
      </c>
      <c r="I2694">
        <f>74732*(1.01^10)</f>
        <v>82550.620676230159</v>
      </c>
      <c r="J2694" t="s">
        <v>8606</v>
      </c>
      <c r="K2694">
        <f t="shared" si="42"/>
        <v>124.75361309237518</v>
      </c>
    </row>
    <row r="2695" spans="1:11" x14ac:dyDescent="0.2">
      <c r="A2695" t="s">
        <v>422</v>
      </c>
      <c r="B2695" t="s">
        <v>639</v>
      </c>
      <c r="C2695" t="s">
        <v>8607</v>
      </c>
      <c r="D2695" t="s">
        <v>8608</v>
      </c>
      <c r="E2695" t="s">
        <v>537</v>
      </c>
      <c r="F2695" t="s">
        <v>92</v>
      </c>
      <c r="G2695" t="s">
        <v>24</v>
      </c>
      <c r="H2695">
        <f>5905*(1.01^10)</f>
        <v>6522.7936505531643</v>
      </c>
      <c r="I2695">
        <f>30274*(1.01^10)</f>
        <v>33441.33022469881</v>
      </c>
      <c r="J2695" t="s">
        <v>8609</v>
      </c>
      <c r="K2695">
        <f t="shared" si="42"/>
        <v>65.875877850308754</v>
      </c>
    </row>
    <row r="2696" spans="1:11" x14ac:dyDescent="0.2">
      <c r="A2696" t="s">
        <v>422</v>
      </c>
      <c r="B2696" t="s">
        <v>639</v>
      </c>
      <c r="C2696" t="s">
        <v>8610</v>
      </c>
      <c r="D2696" t="s">
        <v>8611</v>
      </c>
      <c r="E2696" t="s">
        <v>269</v>
      </c>
      <c r="F2696" t="s">
        <v>92</v>
      </c>
      <c r="G2696" t="s">
        <v>12</v>
      </c>
      <c r="H2696">
        <f>27057*(1.01^10)</f>
        <v>29887.760847250967</v>
      </c>
      <c r="I2696">
        <f>144495*(1.01^10)</f>
        <v>159612.37401129203</v>
      </c>
      <c r="J2696" t="s">
        <v>8612</v>
      </c>
      <c r="K2696">
        <f t="shared" si="42"/>
        <v>328.87382254315293</v>
      </c>
    </row>
    <row r="2697" spans="1:11" x14ac:dyDescent="0.2">
      <c r="A2697" t="s">
        <v>422</v>
      </c>
      <c r="B2697" t="s">
        <v>639</v>
      </c>
      <c r="C2697" t="s">
        <v>8613</v>
      </c>
      <c r="D2697" t="s">
        <v>8614</v>
      </c>
      <c r="E2697" t="s">
        <v>232</v>
      </c>
      <c r="F2697" t="s">
        <v>12</v>
      </c>
      <c r="G2697" t="s">
        <v>24</v>
      </c>
      <c r="H2697">
        <f>15972*(1.01^10)</f>
        <v>17643.024587067761</v>
      </c>
      <c r="I2697">
        <f>89012*(1.01^10)</f>
        <v>98324.624627102152</v>
      </c>
      <c r="J2697" t="s">
        <v>8615</v>
      </c>
      <c r="K2697">
        <f t="shared" si="42"/>
        <v>378.87278551420462</v>
      </c>
    </row>
    <row r="2698" spans="1:11" x14ac:dyDescent="0.2">
      <c r="A2698" t="s">
        <v>422</v>
      </c>
      <c r="B2698" t="s">
        <v>639</v>
      </c>
      <c r="C2698" t="s">
        <v>8616</v>
      </c>
      <c r="D2698" t="s">
        <v>8617</v>
      </c>
      <c r="E2698" t="s">
        <v>1027</v>
      </c>
      <c r="F2698" t="s">
        <v>24</v>
      </c>
      <c r="G2698" t="s">
        <v>24</v>
      </c>
      <c r="H2698">
        <f>10381*(1.01^10)</f>
        <v>11467.082283893717</v>
      </c>
      <c r="I2698">
        <f>60095*(1.01^10)</f>
        <v>66382.266626586352</v>
      </c>
      <c r="J2698" t="s">
        <v>8618</v>
      </c>
      <c r="K2698">
        <f t="shared" si="42"/>
        <v>223.36724575070707</v>
      </c>
    </row>
    <row r="2699" spans="1:11" x14ac:dyDescent="0.2">
      <c r="A2699" t="s">
        <v>422</v>
      </c>
      <c r="B2699" t="s">
        <v>639</v>
      </c>
      <c r="C2699" t="s">
        <v>8619</v>
      </c>
      <c r="D2699" t="s">
        <v>8620</v>
      </c>
      <c r="E2699" t="s">
        <v>180</v>
      </c>
      <c r="F2699" t="s">
        <v>12</v>
      </c>
      <c r="G2699" t="s">
        <v>24</v>
      </c>
      <c r="H2699">
        <f>5979*(1.01^10)</f>
        <v>6604.5356878335933</v>
      </c>
      <c r="I2699">
        <f>34630*(1.01^10)</f>
        <v>38253.064202990019</v>
      </c>
      <c r="J2699" t="s">
        <v>8621</v>
      </c>
      <c r="K2699">
        <f t="shared" si="42"/>
        <v>95.656399338163865</v>
      </c>
    </row>
    <row r="2700" spans="1:11" x14ac:dyDescent="0.2">
      <c r="A2700" t="s">
        <v>422</v>
      </c>
      <c r="B2700" t="s">
        <v>639</v>
      </c>
      <c r="C2700" t="s">
        <v>8622</v>
      </c>
      <c r="D2700" t="s">
        <v>8623</v>
      </c>
      <c r="E2700" t="s">
        <v>1101</v>
      </c>
      <c r="F2700" t="s">
        <v>24</v>
      </c>
      <c r="G2700" t="s">
        <v>17</v>
      </c>
      <c r="H2700">
        <f>19232*(1.01^10)</f>
        <v>21244.092715908289</v>
      </c>
      <c r="I2700">
        <f>106653*(1.01^10)</f>
        <v>117811.26354148122</v>
      </c>
      <c r="J2700" t="s">
        <v>8624</v>
      </c>
      <c r="K2700">
        <f t="shared" si="42"/>
        <v>198.23728849262378</v>
      </c>
    </row>
    <row r="2701" spans="1:11" x14ac:dyDescent="0.2">
      <c r="A2701" t="s">
        <v>422</v>
      </c>
      <c r="B2701" t="s">
        <v>8625</v>
      </c>
      <c r="C2701" t="s">
        <v>8626</v>
      </c>
      <c r="D2701" t="s">
        <v>8627</v>
      </c>
      <c r="E2701" t="s">
        <v>651</v>
      </c>
      <c r="F2701" t="s">
        <v>1506</v>
      </c>
      <c r="G2701" t="s">
        <v>12</v>
      </c>
      <c r="H2701">
        <f>27833*(1.01^10)</f>
        <v>30744.947616570062</v>
      </c>
      <c r="I2701">
        <f>161814*(1.01^10)</f>
        <v>178743.32460128868</v>
      </c>
      <c r="J2701" t="s">
        <v>8628</v>
      </c>
      <c r="K2701">
        <f t="shared" si="42"/>
        <v>460.82123398624793</v>
      </c>
    </row>
    <row r="2702" spans="1:11" x14ac:dyDescent="0.2">
      <c r="A2702" t="s">
        <v>422</v>
      </c>
      <c r="B2702" t="s">
        <v>8625</v>
      </c>
      <c r="C2702" t="s">
        <v>8629</v>
      </c>
      <c r="D2702" t="s">
        <v>8630</v>
      </c>
      <c r="E2702" t="s">
        <v>977</v>
      </c>
      <c r="F2702" t="s">
        <v>796</v>
      </c>
      <c r="G2702" t="s">
        <v>17</v>
      </c>
      <c r="H2702">
        <f>21487*(1.01^10)</f>
        <v>23735.015608710557</v>
      </c>
      <c r="I2702">
        <f>131669*(1.01^10)</f>
        <v>145444.49063076792</v>
      </c>
      <c r="J2702" t="s">
        <v>8631</v>
      </c>
      <c r="K2702">
        <f t="shared" si="42"/>
        <v>497.5736579414226</v>
      </c>
    </row>
    <row r="2703" spans="1:11" x14ac:dyDescent="0.2">
      <c r="A2703" t="s">
        <v>422</v>
      </c>
      <c r="B2703" t="s">
        <v>8625</v>
      </c>
      <c r="C2703" t="s">
        <v>8632</v>
      </c>
      <c r="D2703" t="s">
        <v>8633</v>
      </c>
      <c r="E2703" t="s">
        <v>829</v>
      </c>
      <c r="F2703" t="s">
        <v>11</v>
      </c>
      <c r="G2703" t="s">
        <v>24</v>
      </c>
      <c r="H2703">
        <f>10440*(1.01^10)</f>
        <v>11532.254989292978</v>
      </c>
      <c r="I2703">
        <f>56014*(1.01^10)</f>
        <v>61874.303732783221</v>
      </c>
      <c r="J2703" t="s">
        <v>8634</v>
      </c>
      <c r="K2703">
        <f t="shared" si="42"/>
        <v>577.03437263089711</v>
      </c>
    </row>
    <row r="2704" spans="1:11" x14ac:dyDescent="0.2">
      <c r="A2704" t="s">
        <v>422</v>
      </c>
      <c r="B2704" t="s">
        <v>8625</v>
      </c>
      <c r="C2704" t="s">
        <v>8635</v>
      </c>
      <c r="D2704" t="s">
        <v>8636</v>
      </c>
      <c r="E2704" t="s">
        <v>337</v>
      </c>
      <c r="F2704" t="s">
        <v>405</v>
      </c>
      <c r="G2704" t="s">
        <v>24</v>
      </c>
      <c r="H2704">
        <f>20908*(1.01^10)</f>
        <v>23095.439398097467</v>
      </c>
      <c r="I2704">
        <f>112815*(1.01^10)</f>
        <v>124617.94507826507</v>
      </c>
      <c r="J2704" t="s">
        <v>8637</v>
      </c>
      <c r="K2704">
        <f t="shared" si="42"/>
        <v>522.99582458979512</v>
      </c>
    </row>
    <row r="2705" spans="1:11" x14ac:dyDescent="0.2">
      <c r="A2705" t="s">
        <v>422</v>
      </c>
      <c r="B2705" t="s">
        <v>8625</v>
      </c>
      <c r="C2705" t="s">
        <v>8638</v>
      </c>
      <c r="D2705" t="s">
        <v>8639</v>
      </c>
      <c r="E2705" t="s">
        <v>619</v>
      </c>
      <c r="F2705" t="s">
        <v>152</v>
      </c>
      <c r="G2705" t="s">
        <v>24</v>
      </c>
      <c r="H2705">
        <f>8903*(1.01^10)</f>
        <v>9834.450782535956</v>
      </c>
      <c r="I2705">
        <f>48549*(1.01^10)</f>
        <v>53628.299566588583</v>
      </c>
      <c r="J2705" t="s">
        <v>8640</v>
      </c>
      <c r="K2705">
        <f t="shared" si="42"/>
        <v>339.77484792590252</v>
      </c>
    </row>
    <row r="2706" spans="1:11" x14ac:dyDescent="0.2">
      <c r="A2706" t="s">
        <v>422</v>
      </c>
      <c r="B2706" t="s">
        <v>8625</v>
      </c>
      <c r="C2706" t="s">
        <v>8641</v>
      </c>
      <c r="D2706" t="s">
        <v>8642</v>
      </c>
      <c r="E2706" t="s">
        <v>126</v>
      </c>
      <c r="F2706" t="s">
        <v>12</v>
      </c>
      <c r="G2706" t="s">
        <v>24</v>
      </c>
      <c r="H2706">
        <f>9105*(1.01^10)</f>
        <v>10057.584451869019</v>
      </c>
      <c r="I2706">
        <f>52305*(1.01^10)</f>
        <v>57777.260269633065</v>
      </c>
      <c r="J2706" t="s">
        <v>8643</v>
      </c>
      <c r="K2706">
        <f t="shared" si="42"/>
        <v>430.61023224529339</v>
      </c>
    </row>
    <row r="2707" spans="1:11" x14ac:dyDescent="0.2">
      <c r="A2707" t="s">
        <v>422</v>
      </c>
      <c r="B2707" t="s">
        <v>8625</v>
      </c>
      <c r="C2707" t="s">
        <v>8644</v>
      </c>
      <c r="D2707" t="s">
        <v>8645</v>
      </c>
      <c r="E2707" t="s">
        <v>1195</v>
      </c>
      <c r="F2707" t="s">
        <v>17</v>
      </c>
      <c r="G2707" t="s">
        <v>24</v>
      </c>
      <c r="H2707">
        <f>20203*(1.01^10)</f>
        <v>22316.68079968257</v>
      </c>
      <c r="I2707">
        <f>122269*(1.01^10)</f>
        <v>135061.04265190259</v>
      </c>
      <c r="J2707" t="s">
        <v>8646</v>
      </c>
      <c r="K2707">
        <f t="shared" si="42"/>
        <v>590.44274612231948</v>
      </c>
    </row>
    <row r="2708" spans="1:11" x14ac:dyDescent="0.2">
      <c r="A2708" t="s">
        <v>422</v>
      </c>
      <c r="B2708" t="s">
        <v>8625</v>
      </c>
      <c r="C2708" t="s">
        <v>8647</v>
      </c>
      <c r="D2708" t="s">
        <v>8648</v>
      </c>
      <c r="E2708" t="s">
        <v>72</v>
      </c>
      <c r="F2708" t="s">
        <v>5</v>
      </c>
      <c r="G2708" t="s">
        <v>24</v>
      </c>
      <c r="H2708">
        <f>7977*(1.01^10)</f>
        <v>8811.5706944051799</v>
      </c>
      <c r="I2708">
        <f>52068*(1.01^10)</f>
        <v>57515.464825910611</v>
      </c>
      <c r="J2708" t="s">
        <v>8649</v>
      </c>
      <c r="K2708">
        <f t="shared" si="42"/>
        <v>414.08205677277073</v>
      </c>
    </row>
    <row r="2709" spans="1:11" x14ac:dyDescent="0.2">
      <c r="A2709" t="s">
        <v>422</v>
      </c>
      <c r="B2709" t="s">
        <v>8625</v>
      </c>
      <c r="C2709" t="s">
        <v>8650</v>
      </c>
      <c r="D2709" t="s">
        <v>8651</v>
      </c>
      <c r="E2709" t="s">
        <v>1387</v>
      </c>
      <c r="F2709" t="s">
        <v>152</v>
      </c>
      <c r="G2709" t="s">
        <v>17</v>
      </c>
      <c r="H2709">
        <f>26309*(1.01^10)</f>
        <v>29061.503497443387</v>
      </c>
      <c r="I2709">
        <f>156477*(1.01^10)</f>
        <v>172847.95631796907</v>
      </c>
      <c r="J2709" t="s">
        <v>8652</v>
      </c>
      <c r="K2709">
        <f t="shared" si="42"/>
        <v>487.61496989029615</v>
      </c>
    </row>
    <row r="2710" spans="1:11" x14ac:dyDescent="0.2">
      <c r="A2710" t="s">
        <v>422</v>
      </c>
      <c r="B2710" t="s">
        <v>8625</v>
      </c>
      <c r="C2710" t="s">
        <v>8653</v>
      </c>
      <c r="D2710" t="s">
        <v>8654</v>
      </c>
      <c r="E2710" t="s">
        <v>410</v>
      </c>
      <c r="F2710" t="s">
        <v>382</v>
      </c>
      <c r="G2710" t="s">
        <v>5</v>
      </c>
      <c r="H2710">
        <f>51178*(1.01^10)</f>
        <v>56532.351134294637</v>
      </c>
      <c r="I2710">
        <f>290098*(1.01^10)</f>
        <v>320448.6693375397</v>
      </c>
      <c r="J2710" t="s">
        <v>8655</v>
      </c>
      <c r="K2710">
        <f t="shared" si="42"/>
        <v>1654.7003510415955</v>
      </c>
    </row>
    <row r="2711" spans="1:11" x14ac:dyDescent="0.2">
      <c r="A2711" t="s">
        <v>422</v>
      </c>
      <c r="B2711" t="s">
        <v>8625</v>
      </c>
      <c r="C2711" t="s">
        <v>8656</v>
      </c>
      <c r="D2711" t="s">
        <v>8657</v>
      </c>
      <c r="E2711" t="s">
        <v>168</v>
      </c>
      <c r="F2711" t="s">
        <v>5</v>
      </c>
      <c r="G2711" t="s">
        <v>12</v>
      </c>
      <c r="H2711">
        <f>18363*(1.01^10)</f>
        <v>20284.176088925953</v>
      </c>
      <c r="I2711">
        <f>108361*(1.01^10)</f>
        <v>119697.95813168355</v>
      </c>
      <c r="J2711" t="s">
        <v>8658</v>
      </c>
      <c r="K2711">
        <f t="shared" si="42"/>
        <v>462.21982711790787</v>
      </c>
    </row>
    <row r="2712" spans="1:11" x14ac:dyDescent="0.2">
      <c r="A2712" t="s">
        <v>422</v>
      </c>
      <c r="B2712" t="s">
        <v>8625</v>
      </c>
      <c r="C2712" t="s">
        <v>8659</v>
      </c>
      <c r="D2712" t="s">
        <v>8660</v>
      </c>
      <c r="E2712" t="s">
        <v>333</v>
      </c>
      <c r="F2712" t="s">
        <v>24</v>
      </c>
      <c r="G2712" t="s">
        <v>17</v>
      </c>
      <c r="H2712">
        <f>14462*(1.01^10)</f>
        <v>15975.045177696844</v>
      </c>
      <c r="I2712">
        <f>82385*(1.01^10)</f>
        <v>91004.29380200211</v>
      </c>
      <c r="J2712" t="s">
        <v>8661</v>
      </c>
      <c r="K2712">
        <f t="shared" si="42"/>
        <v>752.47736282878725</v>
      </c>
    </row>
    <row r="2713" spans="1:11" x14ac:dyDescent="0.2">
      <c r="A2713" t="s">
        <v>422</v>
      </c>
      <c r="B2713" t="s">
        <v>8625</v>
      </c>
      <c r="C2713" t="s">
        <v>8662</v>
      </c>
      <c r="D2713" t="s">
        <v>8663</v>
      </c>
      <c r="E2713" t="s">
        <v>777</v>
      </c>
      <c r="F2713" t="s">
        <v>5</v>
      </c>
      <c r="G2713" t="s">
        <v>24</v>
      </c>
      <c r="H2713">
        <f>17635*(1.01^10)</f>
        <v>19480.011181626596</v>
      </c>
      <c r="I2713">
        <f>91357*(1.01^10)</f>
        <v>100914.96351119142</v>
      </c>
      <c r="J2713" t="s">
        <v>8664</v>
      </c>
      <c r="K2713">
        <f t="shared" si="42"/>
        <v>323.35772147695536</v>
      </c>
    </row>
    <row r="2714" spans="1:11" x14ac:dyDescent="0.2">
      <c r="A2714" t="s">
        <v>422</v>
      </c>
      <c r="B2714" t="s">
        <v>8625</v>
      </c>
      <c r="C2714" t="s">
        <v>8665</v>
      </c>
      <c r="D2714" t="s">
        <v>8666</v>
      </c>
      <c r="E2714" t="s">
        <v>253</v>
      </c>
      <c r="F2714" t="s">
        <v>12</v>
      </c>
      <c r="G2714" t="s">
        <v>12</v>
      </c>
      <c r="H2714">
        <f>25760*(1.01^10)</f>
        <v>28455.065950592634</v>
      </c>
      <c r="I2714">
        <f>136839*(1.01^10)</f>
        <v>151155.38701914385</v>
      </c>
      <c r="J2714" t="s">
        <v>8667</v>
      </c>
      <c r="K2714">
        <f t="shared" si="42"/>
        <v>415.60201800069837</v>
      </c>
    </row>
    <row r="2715" spans="1:11" x14ac:dyDescent="0.2">
      <c r="A2715" t="s">
        <v>422</v>
      </c>
      <c r="B2715" t="s">
        <v>8625</v>
      </c>
      <c r="C2715" t="s">
        <v>8668</v>
      </c>
      <c r="D2715" t="s">
        <v>8669</v>
      </c>
      <c r="E2715" t="s">
        <v>829</v>
      </c>
      <c r="F2715" t="s">
        <v>24</v>
      </c>
      <c r="G2715" t="s">
        <v>12</v>
      </c>
      <c r="H2715">
        <f>9599*(1.01^10)</f>
        <v>10603.267781822155</v>
      </c>
      <c r="I2715">
        <f>53705*(1.01^10)</f>
        <v>59323.73124520875</v>
      </c>
      <c r="J2715" t="s">
        <v>8670</v>
      </c>
      <c r="K2715">
        <f t="shared" si="42"/>
        <v>397.1052428174084</v>
      </c>
    </row>
    <row r="2716" spans="1:11" x14ac:dyDescent="0.2">
      <c r="A2716" t="s">
        <v>422</v>
      </c>
      <c r="B2716" t="s">
        <v>8625</v>
      </c>
      <c r="C2716" t="s">
        <v>8671</v>
      </c>
      <c r="D2716" t="s">
        <v>8672</v>
      </c>
      <c r="E2716" t="s">
        <v>726</v>
      </c>
      <c r="F2716" t="s">
        <v>12</v>
      </c>
      <c r="G2716" t="s">
        <v>11</v>
      </c>
      <c r="H2716">
        <f>14587*(1.01^10)</f>
        <v>16113.122943373244</v>
      </c>
      <c r="I2716">
        <f>77770*(1.01^10)</f>
        <v>85906.46269322939</v>
      </c>
      <c r="J2716" t="s">
        <v>8673</v>
      </c>
      <c r="K2716">
        <f t="shared" si="42"/>
        <v>737.79319314038594</v>
      </c>
    </row>
    <row r="2717" spans="1:11" x14ac:dyDescent="0.2">
      <c r="A2717" t="s">
        <v>422</v>
      </c>
      <c r="B2717" t="s">
        <v>685</v>
      </c>
      <c r="C2717" t="s">
        <v>8674</v>
      </c>
      <c r="D2717" t="s">
        <v>8675</v>
      </c>
      <c r="E2717" t="s">
        <v>998</v>
      </c>
      <c r="F2717" t="s">
        <v>17</v>
      </c>
      <c r="G2717" t="s">
        <v>6</v>
      </c>
      <c r="H2717">
        <f>47121*(1.01^10)</f>
        <v>52050.899171501376</v>
      </c>
      <c r="I2717">
        <f>247841*(1.01^10)</f>
        <v>273770.65218403842</v>
      </c>
      <c r="J2717" t="s">
        <v>8676</v>
      </c>
      <c r="K2717">
        <f t="shared" si="42"/>
        <v>888.36122532626894</v>
      </c>
    </row>
    <row r="2718" spans="1:11" x14ac:dyDescent="0.2">
      <c r="A2718" t="s">
        <v>422</v>
      </c>
      <c r="B2718" t="s">
        <v>685</v>
      </c>
      <c r="C2718" t="s">
        <v>8677</v>
      </c>
      <c r="D2718" t="s">
        <v>8678</v>
      </c>
      <c r="E2718" t="s">
        <v>535</v>
      </c>
      <c r="F2718" t="s">
        <v>5</v>
      </c>
      <c r="G2718" t="s">
        <v>108</v>
      </c>
      <c r="H2718">
        <f>48900*(1.01^10)</f>
        <v>54016.02193260791</v>
      </c>
      <c r="I2718">
        <f>253032*(1.01^10)</f>
        <v>279504.74563704798</v>
      </c>
      <c r="J2718" t="s">
        <v>8679</v>
      </c>
      <c r="K2718">
        <f t="shared" si="42"/>
        <v>680.95001607321421</v>
      </c>
    </row>
    <row r="2719" spans="1:11" x14ac:dyDescent="0.2">
      <c r="A2719" t="s">
        <v>422</v>
      </c>
      <c r="B2719" t="s">
        <v>685</v>
      </c>
      <c r="C2719" t="s">
        <v>8680</v>
      </c>
      <c r="D2719" t="s">
        <v>2029</v>
      </c>
      <c r="E2719" t="s">
        <v>422</v>
      </c>
      <c r="F2719" t="s">
        <v>24</v>
      </c>
      <c r="G2719" t="s">
        <v>11</v>
      </c>
      <c r="H2719">
        <f>30523*(1.01^10)</f>
        <v>33716.381133926203</v>
      </c>
      <c r="I2719">
        <f>161821*(1.01^10)</f>
        <v>178751.05695616658</v>
      </c>
      <c r="J2719" t="s">
        <v>8681</v>
      </c>
      <c r="K2719">
        <f t="shared" si="42"/>
        <v>1334.6697194349251</v>
      </c>
    </row>
    <row r="2720" spans="1:11" x14ac:dyDescent="0.2">
      <c r="A2720" t="s">
        <v>422</v>
      </c>
      <c r="B2720" t="s">
        <v>685</v>
      </c>
      <c r="C2720" t="s">
        <v>8682</v>
      </c>
      <c r="D2720" t="s">
        <v>8683</v>
      </c>
      <c r="E2720" t="s">
        <v>829</v>
      </c>
      <c r="F2720" t="s">
        <v>24</v>
      </c>
      <c r="G2720" t="s">
        <v>24</v>
      </c>
      <c r="H2720">
        <f>11713*(1.01^10)</f>
        <v>12938.438954941441</v>
      </c>
      <c r="I2720">
        <f>66238*(1.01^10)</f>
        <v>73167.960342987382</v>
      </c>
      <c r="J2720" t="s">
        <v>8684</v>
      </c>
      <c r="K2720">
        <f t="shared" si="42"/>
        <v>666.72113449413007</v>
      </c>
    </row>
    <row r="2721" spans="1:11" x14ac:dyDescent="0.2">
      <c r="A2721" t="s">
        <v>422</v>
      </c>
      <c r="B2721" t="s">
        <v>685</v>
      </c>
      <c r="C2721" t="s">
        <v>8685</v>
      </c>
      <c r="D2721" t="s">
        <v>8686</v>
      </c>
      <c r="E2721" t="s">
        <v>422</v>
      </c>
      <c r="F2721" t="s">
        <v>12</v>
      </c>
      <c r="G2721" t="s">
        <v>17</v>
      </c>
      <c r="H2721">
        <f>12633*(1.01^10)</f>
        <v>13954.691310319749</v>
      </c>
      <c r="I2721">
        <f>70701*(1.01^10)</f>
        <v>78097.888888697591</v>
      </c>
      <c r="J2721" t="s">
        <v>8687</v>
      </c>
      <c r="K2721">
        <f t="shared" si="42"/>
        <v>1353.5545816307415</v>
      </c>
    </row>
    <row r="2722" spans="1:11" x14ac:dyDescent="0.2">
      <c r="A2722" t="s">
        <v>422</v>
      </c>
      <c r="B2722" t="s">
        <v>685</v>
      </c>
      <c r="C2722" t="s">
        <v>8688</v>
      </c>
      <c r="D2722" t="s">
        <v>8689</v>
      </c>
      <c r="E2722" t="s">
        <v>337</v>
      </c>
      <c r="F2722" t="s">
        <v>11</v>
      </c>
      <c r="G2722" t="s">
        <v>24</v>
      </c>
      <c r="H2722">
        <f>28485*(1.01^10)</f>
        <v>31465.161242338167</v>
      </c>
      <c r="I2722">
        <f>149810*(1.01^10)</f>
        <v>165483.44060785259</v>
      </c>
      <c r="J2722" t="s">
        <v>8690</v>
      </c>
      <c r="K2722">
        <f t="shared" si="42"/>
        <v>515.53526183302574</v>
      </c>
    </row>
    <row r="2723" spans="1:11" x14ac:dyDescent="0.2">
      <c r="A2723" t="s">
        <v>422</v>
      </c>
      <c r="B2723" t="s">
        <v>8691</v>
      </c>
      <c r="C2723" t="s">
        <v>8692</v>
      </c>
      <c r="D2723" t="s">
        <v>8693</v>
      </c>
      <c r="E2723" t="s">
        <v>573</v>
      </c>
      <c r="F2723" t="s">
        <v>998</v>
      </c>
      <c r="G2723" t="s">
        <v>24</v>
      </c>
      <c r="H2723">
        <f>31370*(1.01^10)</f>
        <v>34651.996074149494</v>
      </c>
      <c r="I2723">
        <f>156291*(1.01^10)</f>
        <v>172642.49660264261</v>
      </c>
      <c r="J2723" t="s">
        <v>8694</v>
      </c>
      <c r="K2723">
        <f t="shared" si="42"/>
        <v>551.48751101118171</v>
      </c>
    </row>
    <row r="2724" spans="1:11" x14ac:dyDescent="0.2">
      <c r="A2724" t="s">
        <v>422</v>
      </c>
      <c r="B2724" t="s">
        <v>8691</v>
      </c>
      <c r="C2724" t="s">
        <v>8695</v>
      </c>
      <c r="D2724" t="s">
        <v>8696</v>
      </c>
      <c r="E2724" t="s">
        <v>8697</v>
      </c>
      <c r="F2724" t="s">
        <v>176</v>
      </c>
      <c r="G2724" t="s">
        <v>12</v>
      </c>
      <c r="H2724">
        <f>37342*(1.01^10)</f>
        <v>41248.799407105209</v>
      </c>
      <c r="I2724">
        <f>185286*(1.01^10)</f>
        <v>204671.01512894049</v>
      </c>
      <c r="J2724" t="s">
        <v>8698</v>
      </c>
      <c r="K2724">
        <f t="shared" si="42"/>
        <v>510.55079137852135</v>
      </c>
    </row>
    <row r="2725" spans="1:11" x14ac:dyDescent="0.2">
      <c r="A2725" t="s">
        <v>422</v>
      </c>
      <c r="B2725" t="s">
        <v>8691</v>
      </c>
      <c r="C2725" t="s">
        <v>8699</v>
      </c>
      <c r="D2725" t="s">
        <v>2029</v>
      </c>
      <c r="E2725" t="s">
        <v>517</v>
      </c>
      <c r="F2725" t="s">
        <v>77</v>
      </c>
      <c r="G2725" t="s">
        <v>24</v>
      </c>
      <c r="H2725">
        <f>34085*(1.01^10)</f>
        <v>37651.045144640913</v>
      </c>
      <c r="I2725">
        <f>159911*(1.01^10)</f>
        <v>176641.22869663115</v>
      </c>
      <c r="J2725" t="s">
        <v>8700</v>
      </c>
      <c r="K2725">
        <f t="shared" si="42"/>
        <v>371.55495374451516</v>
      </c>
    </row>
    <row r="2726" spans="1:11" x14ac:dyDescent="0.2">
      <c r="A2726" t="s">
        <v>422</v>
      </c>
      <c r="B2726" t="s">
        <v>8691</v>
      </c>
      <c r="C2726" t="s">
        <v>8701</v>
      </c>
      <c r="D2726" t="s">
        <v>8702</v>
      </c>
      <c r="E2726" t="s">
        <v>555</v>
      </c>
      <c r="F2726" t="s">
        <v>12</v>
      </c>
      <c r="G2726" t="s">
        <v>24</v>
      </c>
      <c r="H2726">
        <f>9272*(1.01^10)</f>
        <v>10242.056346812691</v>
      </c>
      <c r="I2726">
        <f>42063*(1.01^10)</f>
        <v>46463.720461171506</v>
      </c>
      <c r="J2726" t="s">
        <v>8703</v>
      </c>
      <c r="K2726">
        <f t="shared" si="42"/>
        <v>200.51910091645161</v>
      </c>
    </row>
    <row r="2727" spans="1:11" x14ac:dyDescent="0.2">
      <c r="A2727" t="s">
        <v>422</v>
      </c>
      <c r="B2727" t="s">
        <v>8691</v>
      </c>
      <c r="C2727" t="s">
        <v>8704</v>
      </c>
      <c r="D2727" t="s">
        <v>8705</v>
      </c>
      <c r="E2727" t="s">
        <v>133</v>
      </c>
      <c r="F2727" t="s">
        <v>5</v>
      </c>
      <c r="G2727" t="s">
        <v>24</v>
      </c>
      <c r="H2727">
        <f>14973*(1.01^10)</f>
        <v>16539.507083781969</v>
      </c>
      <c r="I2727">
        <f>71458*(1.01^10)</f>
        <v>78934.087837633866</v>
      </c>
      <c r="J2727" t="s">
        <v>8706</v>
      </c>
      <c r="K2727">
        <f t="shared" si="42"/>
        <v>239.40472078817572</v>
      </c>
    </row>
    <row r="2728" spans="1:11" x14ac:dyDescent="0.2">
      <c r="A2728" t="s">
        <v>422</v>
      </c>
      <c r="B2728" t="s">
        <v>8691</v>
      </c>
      <c r="C2728" t="s">
        <v>8707</v>
      </c>
      <c r="D2728" t="s">
        <v>8708</v>
      </c>
      <c r="E2728" t="s">
        <v>1900</v>
      </c>
      <c r="F2728" t="s">
        <v>356</v>
      </c>
      <c r="G2728" t="s">
        <v>24</v>
      </c>
      <c r="H2728">
        <f>27609*(1.01^10)</f>
        <v>30497.512260477954</v>
      </c>
      <c r="I2728">
        <f>131464*(1.01^10)</f>
        <v>145218.04309505862</v>
      </c>
      <c r="J2728" t="s">
        <v>8709</v>
      </c>
      <c r="K2728">
        <f t="shared" si="42"/>
        <v>318.84028865265867</v>
      </c>
    </row>
    <row r="2729" spans="1:11" x14ac:dyDescent="0.2">
      <c r="A2729" t="s">
        <v>422</v>
      </c>
      <c r="B2729" t="s">
        <v>8691</v>
      </c>
      <c r="C2729" t="s">
        <v>8710</v>
      </c>
      <c r="D2729" t="s">
        <v>8711</v>
      </c>
      <c r="E2729" t="s">
        <v>2553</v>
      </c>
      <c r="F2729" t="s">
        <v>427</v>
      </c>
      <c r="G2729" t="s">
        <v>24</v>
      </c>
      <c r="H2729">
        <f>22598*(1.01^10)</f>
        <v>24962.250790042406</v>
      </c>
      <c r="I2729">
        <f>101667*(1.01^10)</f>
        <v>112303.61762418096</v>
      </c>
      <c r="J2729" t="s">
        <v>8712</v>
      </c>
      <c r="K2729">
        <f t="shared" si="42"/>
        <v>330.86739403492703</v>
      </c>
    </row>
    <row r="2730" spans="1:11" x14ac:dyDescent="0.2">
      <c r="A2730" t="s">
        <v>422</v>
      </c>
      <c r="B2730" t="s">
        <v>8691</v>
      </c>
      <c r="C2730" t="s">
        <v>8713</v>
      </c>
      <c r="D2730" t="s">
        <v>8714</v>
      </c>
      <c r="E2730" t="s">
        <v>2392</v>
      </c>
      <c r="F2730" t="s">
        <v>411</v>
      </c>
      <c r="G2730" t="s">
        <v>5</v>
      </c>
      <c r="H2730">
        <f>42746*(1.01^10)</f>
        <v>47218.177372827355</v>
      </c>
      <c r="I2730">
        <f>210785*(1.01^10)</f>
        <v>232837.7747048008</v>
      </c>
      <c r="J2730" t="s">
        <v>8715</v>
      </c>
      <c r="K2730">
        <f t="shared" si="42"/>
        <v>614.7232293596204</v>
      </c>
    </row>
    <row r="2731" spans="1:11" x14ac:dyDescent="0.2">
      <c r="A2731" t="s">
        <v>422</v>
      </c>
      <c r="B2731" t="s">
        <v>8691</v>
      </c>
      <c r="C2731" t="s">
        <v>8716</v>
      </c>
      <c r="D2731" t="s">
        <v>8717</v>
      </c>
      <c r="E2731" t="s">
        <v>1128</v>
      </c>
      <c r="F2731" t="s">
        <v>744</v>
      </c>
      <c r="G2731" t="s">
        <v>24</v>
      </c>
      <c r="H2731">
        <f>28187*(1.01^10)</f>
        <v>31135.983848965629</v>
      </c>
      <c r="I2731">
        <f>137963*(1.01^10)</f>
        <v>152396.98228810605</v>
      </c>
      <c r="J2731" t="s">
        <v>8718</v>
      </c>
      <c r="K2731">
        <f t="shared" si="42"/>
        <v>409.91404905214887</v>
      </c>
    </row>
    <row r="2732" spans="1:11" x14ac:dyDescent="0.2">
      <c r="A2732" t="s">
        <v>422</v>
      </c>
      <c r="B2732" t="s">
        <v>8691</v>
      </c>
      <c r="C2732" t="s">
        <v>8719</v>
      </c>
      <c r="D2732" t="s">
        <v>8720</v>
      </c>
      <c r="E2732" t="s">
        <v>581</v>
      </c>
      <c r="F2732" t="s">
        <v>313</v>
      </c>
      <c r="G2732" t="s">
        <v>24</v>
      </c>
      <c r="H2732">
        <f>26837*(1.01^10)</f>
        <v>29644.743979660503</v>
      </c>
      <c r="I2732">
        <f>124554*(1.01^10)</f>
        <v>137585.10420846721</v>
      </c>
      <c r="J2732" t="s">
        <v>8721</v>
      </c>
      <c r="K2732">
        <f t="shared" si="42"/>
        <v>296.00577923307242</v>
      </c>
    </row>
    <row r="2733" spans="1:11" x14ac:dyDescent="0.2">
      <c r="A2733" t="s">
        <v>422</v>
      </c>
      <c r="B2733" t="s">
        <v>1366</v>
      </c>
      <c r="C2733" t="s">
        <v>8722</v>
      </c>
      <c r="D2733" t="s">
        <v>4655</v>
      </c>
      <c r="E2733" t="s">
        <v>718</v>
      </c>
      <c r="F2733" t="s">
        <v>274</v>
      </c>
      <c r="G2733" t="s">
        <v>24</v>
      </c>
      <c r="H2733">
        <f>28942*(1.01^10)</f>
        <v>31969.973553651089</v>
      </c>
      <c r="I2733">
        <f>163966*(1.01^10)</f>
        <v>181120.47141517361</v>
      </c>
      <c r="J2733" t="s">
        <v>8723</v>
      </c>
      <c r="K2733">
        <f t="shared" si="42"/>
        <v>676.52037511908861</v>
      </c>
    </row>
    <row r="2734" spans="1:11" x14ac:dyDescent="0.2">
      <c r="A2734" t="s">
        <v>422</v>
      </c>
      <c r="B2734" t="s">
        <v>1366</v>
      </c>
      <c r="C2734" t="s">
        <v>8724</v>
      </c>
      <c r="D2734" t="s">
        <v>8725</v>
      </c>
      <c r="E2734" t="s">
        <v>1352</v>
      </c>
      <c r="F2734" t="s">
        <v>92</v>
      </c>
      <c r="G2734" t="s">
        <v>12</v>
      </c>
      <c r="H2734">
        <f>20572*(1.01^10)</f>
        <v>22724.286363959305</v>
      </c>
      <c r="I2734">
        <f>115266*(1.01^10)</f>
        <v>127325.37390764793</v>
      </c>
      <c r="J2734" t="s">
        <v>8726</v>
      </c>
      <c r="K2734">
        <f t="shared" si="42"/>
        <v>707.15539761813477</v>
      </c>
    </row>
    <row r="2735" spans="1:11" x14ac:dyDescent="0.2">
      <c r="A2735" t="s">
        <v>422</v>
      </c>
      <c r="B2735" t="s">
        <v>1366</v>
      </c>
      <c r="C2735" t="s">
        <v>8727</v>
      </c>
      <c r="D2735" t="s">
        <v>8728</v>
      </c>
      <c r="E2735" t="s">
        <v>1912</v>
      </c>
      <c r="F2735" t="s">
        <v>458</v>
      </c>
      <c r="G2735" t="s">
        <v>17</v>
      </c>
      <c r="H2735">
        <f>39653*(1.01^10)</f>
        <v>43801.581138930502</v>
      </c>
      <c r="I2735">
        <f>202478*(1.01^10)</f>
        <v>223661.67870900992</v>
      </c>
      <c r="J2735" t="s">
        <v>8729</v>
      </c>
      <c r="K2735">
        <f t="shared" si="42"/>
        <v>606.72731834428373</v>
      </c>
    </row>
    <row r="2736" spans="1:11" x14ac:dyDescent="0.2">
      <c r="A2736" t="s">
        <v>422</v>
      </c>
      <c r="B2736" t="s">
        <v>1366</v>
      </c>
      <c r="C2736" t="s">
        <v>8730</v>
      </c>
      <c r="D2736" t="s">
        <v>8731</v>
      </c>
      <c r="E2736" t="s">
        <v>1900</v>
      </c>
      <c r="F2736" t="s">
        <v>356</v>
      </c>
      <c r="G2736" t="s">
        <v>24</v>
      </c>
      <c r="H2736">
        <f>28218*(1.01^10)</f>
        <v>31170.227134853376</v>
      </c>
      <c r="I2736">
        <f>134780*(1.01^10)</f>
        <v>148880.97006292216</v>
      </c>
      <c r="J2736" t="s">
        <v>8732</v>
      </c>
      <c r="K2736">
        <f t="shared" si="42"/>
        <v>407.13612886720483</v>
      </c>
    </row>
    <row r="2737" spans="1:11" x14ac:dyDescent="0.2">
      <c r="A2737" t="s">
        <v>422</v>
      </c>
      <c r="B2737" t="s">
        <v>1366</v>
      </c>
      <c r="C2737" t="s">
        <v>8733</v>
      </c>
      <c r="D2737" t="s">
        <v>440</v>
      </c>
      <c r="E2737" t="s">
        <v>3215</v>
      </c>
      <c r="F2737" t="s">
        <v>108</v>
      </c>
      <c r="G2737" t="s">
        <v>24</v>
      </c>
      <c r="H2737">
        <f>18358*(1.01^10)</f>
        <v>20278.652978298898</v>
      </c>
      <c r="I2737">
        <f>89645*(1.01^10)</f>
        <v>99023.850432487452</v>
      </c>
      <c r="J2737" t="s">
        <v>8734</v>
      </c>
      <c r="K2737">
        <f t="shared" si="42"/>
        <v>288.84501570875381</v>
      </c>
    </row>
    <row r="2738" spans="1:11" x14ac:dyDescent="0.2">
      <c r="A2738" t="s">
        <v>422</v>
      </c>
      <c r="B2738" t="s">
        <v>1366</v>
      </c>
      <c r="C2738" t="s">
        <v>8735</v>
      </c>
      <c r="D2738" t="s">
        <v>8736</v>
      </c>
      <c r="E2738" t="s">
        <v>540</v>
      </c>
      <c r="F2738" t="s">
        <v>44</v>
      </c>
      <c r="G2738" t="s">
        <v>24</v>
      </c>
      <c r="H2738">
        <f>19532*(1.01^10)</f>
        <v>21575.479353531649</v>
      </c>
      <c r="I2738">
        <f>84907*(1.01^10)</f>
        <v>93790.150802289165</v>
      </c>
      <c r="J2738" t="s">
        <v>8737</v>
      </c>
      <c r="K2738">
        <f t="shared" si="42"/>
        <v>327.84390002628857</v>
      </c>
    </row>
    <row r="2739" spans="1:11" x14ac:dyDescent="0.2">
      <c r="A2739" t="s">
        <v>422</v>
      </c>
      <c r="B2739" t="s">
        <v>1996</v>
      </c>
      <c r="C2739" t="s">
        <v>8738</v>
      </c>
      <c r="D2739" t="s">
        <v>8739</v>
      </c>
      <c r="E2739" t="s">
        <v>168</v>
      </c>
      <c r="F2739" t="s">
        <v>24</v>
      </c>
      <c r="G2739" t="s">
        <v>24</v>
      </c>
      <c r="H2739">
        <f>16974*(1.01^10)</f>
        <v>18749.855956729789</v>
      </c>
      <c r="I2739">
        <f>89889*(1.01^10)</f>
        <v>99293.378231087787</v>
      </c>
      <c r="J2739" t="s">
        <v>8740</v>
      </c>
      <c r="K2739">
        <f t="shared" si="42"/>
        <v>307.37365613721977</v>
      </c>
    </row>
    <row r="2740" spans="1:11" x14ac:dyDescent="0.2">
      <c r="A2740" t="s">
        <v>422</v>
      </c>
      <c r="B2740" t="s">
        <v>1996</v>
      </c>
      <c r="C2740" t="s">
        <v>8741</v>
      </c>
      <c r="D2740" t="s">
        <v>8742</v>
      </c>
      <c r="E2740" t="s">
        <v>318</v>
      </c>
      <c r="F2740" t="s">
        <v>24</v>
      </c>
      <c r="G2740" t="s">
        <v>5</v>
      </c>
      <c r="H2740">
        <f>15111*(1.01^10)</f>
        <v>16691.944937088716</v>
      </c>
      <c r="I2740">
        <f>78219*(1.01^10)</f>
        <v>86402.438027539029</v>
      </c>
      <c r="J2740" t="s">
        <v>8743</v>
      </c>
      <c r="K2740">
        <f t="shared" si="42"/>
        <v>639.36007065895035</v>
      </c>
    </row>
    <row r="2741" spans="1:11" x14ac:dyDescent="0.2">
      <c r="A2741" t="s">
        <v>422</v>
      </c>
      <c r="B2741" t="s">
        <v>1996</v>
      </c>
      <c r="C2741" t="s">
        <v>8744</v>
      </c>
      <c r="D2741" t="s">
        <v>8745</v>
      </c>
      <c r="E2741" t="s">
        <v>489</v>
      </c>
      <c r="F2741" t="s">
        <v>24</v>
      </c>
      <c r="G2741" t="s">
        <v>11</v>
      </c>
      <c r="H2741">
        <f>253026*(1.01^10)</f>
        <v>279498.1179042955</v>
      </c>
      <c r="I2741">
        <f>1317499*(1.01^10)</f>
        <v>1455338.5456071368</v>
      </c>
      <c r="J2741" t="s">
        <v>8746</v>
      </c>
      <c r="K2741">
        <f t="shared" si="42"/>
        <v>3365.7553267248163</v>
      </c>
    </row>
    <row r="2742" spans="1:11" x14ac:dyDescent="0.2">
      <c r="A2742" t="s">
        <v>422</v>
      </c>
      <c r="B2742" t="s">
        <v>1996</v>
      </c>
      <c r="C2742" t="s">
        <v>8747</v>
      </c>
      <c r="D2742" t="s">
        <v>8748</v>
      </c>
      <c r="E2742" t="s">
        <v>324</v>
      </c>
      <c r="F2742" t="s">
        <v>11</v>
      </c>
      <c r="G2742" t="s">
        <v>12</v>
      </c>
      <c r="H2742">
        <f>17767*(1.01^10)</f>
        <v>19625.821302180873</v>
      </c>
      <c r="I2742">
        <f>94137*(1.01^10)</f>
        <v>103985.81301983458</v>
      </c>
      <c r="J2742" t="s">
        <v>8749</v>
      </c>
      <c r="K2742">
        <f t="shared" si="42"/>
        <v>442.47583364310941</v>
      </c>
    </row>
    <row r="2743" spans="1:11" x14ac:dyDescent="0.2">
      <c r="A2743" t="s">
        <v>422</v>
      </c>
      <c r="B2743" t="s">
        <v>1996</v>
      </c>
      <c r="C2743" t="s">
        <v>8750</v>
      </c>
      <c r="D2743" t="s">
        <v>8751</v>
      </c>
      <c r="E2743" t="s">
        <v>253</v>
      </c>
      <c r="F2743" t="s">
        <v>12</v>
      </c>
      <c r="G2743" t="s">
        <v>24</v>
      </c>
      <c r="H2743">
        <f>22572*(1.01^10)</f>
        <v>24933.530614781714</v>
      </c>
      <c r="I2743">
        <f>112759*(1.01^10)</f>
        <v>124556.08623924204</v>
      </c>
      <c r="J2743" t="s">
        <v>8752</v>
      </c>
      <c r="K2743">
        <f t="shared" si="42"/>
        <v>306.55638314951642</v>
      </c>
    </row>
    <row r="2744" spans="1:11" x14ac:dyDescent="0.2">
      <c r="A2744" t="s">
        <v>422</v>
      </c>
      <c r="B2744" t="s">
        <v>1996</v>
      </c>
      <c r="C2744" t="s">
        <v>8753</v>
      </c>
      <c r="D2744" t="s">
        <v>8754</v>
      </c>
      <c r="E2744" t="s">
        <v>612</v>
      </c>
      <c r="F2744" t="s">
        <v>24</v>
      </c>
      <c r="G2744" t="s">
        <v>24</v>
      </c>
      <c r="H2744">
        <f>12283*(1.01^10)</f>
        <v>13568.073566425828</v>
      </c>
      <c r="I2744">
        <f>53916*(1.01^10)</f>
        <v>59556.806513670512</v>
      </c>
      <c r="J2744" t="s">
        <v>8755</v>
      </c>
      <c r="K2744">
        <f t="shared" si="42"/>
        <v>331.76717505661912</v>
      </c>
    </row>
    <row r="2745" spans="1:11" x14ac:dyDescent="0.2">
      <c r="A2745" t="s">
        <v>422</v>
      </c>
      <c r="B2745" t="s">
        <v>1996</v>
      </c>
      <c r="C2745" t="s">
        <v>8756</v>
      </c>
      <c r="D2745" t="s">
        <v>8757</v>
      </c>
      <c r="E2745" t="s">
        <v>172</v>
      </c>
      <c r="F2745" t="s">
        <v>17</v>
      </c>
      <c r="G2745" t="s">
        <v>12</v>
      </c>
      <c r="H2745">
        <f>23783*(1.01^10)</f>
        <v>26271.228008654682</v>
      </c>
      <c r="I2745">
        <f>113798*(1.01^10)</f>
        <v>125703.78862754427</v>
      </c>
      <c r="J2745" t="s">
        <v>8758</v>
      </c>
      <c r="K2745">
        <f t="shared" si="42"/>
        <v>414.03487236834178</v>
      </c>
    </row>
    <row r="2746" spans="1:11" x14ac:dyDescent="0.2">
      <c r="A2746" t="s">
        <v>422</v>
      </c>
      <c r="B2746" t="s">
        <v>1996</v>
      </c>
      <c r="C2746" t="s">
        <v>8759</v>
      </c>
      <c r="D2746" t="s">
        <v>8760</v>
      </c>
      <c r="E2746" t="s">
        <v>67</v>
      </c>
      <c r="F2746" t="s">
        <v>24</v>
      </c>
      <c r="G2746" t="s">
        <v>24</v>
      </c>
      <c r="H2746">
        <f>17760*(1.01^10)</f>
        <v>19618.088947302997</v>
      </c>
      <c r="I2746">
        <f>77252*(1.01^10)</f>
        <v>85334.268432266384</v>
      </c>
      <c r="J2746" t="s">
        <v>8761</v>
      </c>
      <c r="K2746">
        <f t="shared" si="42"/>
        <v>280.74491753726784</v>
      </c>
    </row>
    <row r="2747" spans="1:11" x14ac:dyDescent="0.2">
      <c r="A2747" t="s">
        <v>422</v>
      </c>
      <c r="B2747" t="s">
        <v>1996</v>
      </c>
      <c r="C2747" t="s">
        <v>8762</v>
      </c>
      <c r="D2747" t="s">
        <v>8763</v>
      </c>
      <c r="E2747" t="s">
        <v>287</v>
      </c>
      <c r="F2747" t="s">
        <v>92</v>
      </c>
      <c r="G2747" t="s">
        <v>11</v>
      </c>
      <c r="H2747">
        <f>28756*(1.01^10)</f>
        <v>31764.513838324605</v>
      </c>
      <c r="I2747">
        <f>145841*(1.01^10)</f>
        <v>161099.19539209551</v>
      </c>
      <c r="J2747" t="s">
        <v>8764</v>
      </c>
      <c r="K2747">
        <f t="shared" si="42"/>
        <v>324.56052948285298</v>
      </c>
    </row>
    <row r="2748" spans="1:11" x14ac:dyDescent="0.2">
      <c r="A2748" t="s">
        <v>422</v>
      </c>
      <c r="B2748" t="s">
        <v>1996</v>
      </c>
      <c r="C2748" t="s">
        <v>8765</v>
      </c>
      <c r="D2748" t="s">
        <v>8766</v>
      </c>
      <c r="E2748" t="s">
        <v>47</v>
      </c>
      <c r="F2748" t="s">
        <v>24</v>
      </c>
      <c r="G2748" t="s">
        <v>12</v>
      </c>
      <c r="H2748">
        <f>14418*(1.01^10)</f>
        <v>15926.44180417875</v>
      </c>
      <c r="I2748">
        <f>76565*(1.01^10)</f>
        <v>84575.393032108885</v>
      </c>
      <c r="J2748" t="s">
        <v>8767</v>
      </c>
      <c r="K2748">
        <f t="shared" si="42"/>
        <v>777.14907169406945</v>
      </c>
    </row>
    <row r="2749" spans="1:11" x14ac:dyDescent="0.2">
      <c r="A2749" t="s">
        <v>422</v>
      </c>
      <c r="B2749" t="s">
        <v>1996</v>
      </c>
      <c r="C2749" t="s">
        <v>8768</v>
      </c>
      <c r="D2749" t="s">
        <v>8769</v>
      </c>
      <c r="E2749" t="s">
        <v>674</v>
      </c>
      <c r="F2749" t="s">
        <v>12</v>
      </c>
      <c r="G2749" t="s">
        <v>12</v>
      </c>
      <c r="H2749">
        <f>14629*(1.01^10)</f>
        <v>16159.517072640514</v>
      </c>
      <c r="I2749">
        <f>76442*(1.01^10)</f>
        <v>84439.524510683317</v>
      </c>
      <c r="J2749" t="s">
        <v>8770</v>
      </c>
      <c r="K2749">
        <f t="shared" si="42"/>
        <v>540.72334166834628</v>
      </c>
    </row>
    <row r="2750" spans="1:11" x14ac:dyDescent="0.2">
      <c r="A2750" t="s">
        <v>422</v>
      </c>
      <c r="B2750" t="s">
        <v>1996</v>
      </c>
      <c r="C2750" t="s">
        <v>8771</v>
      </c>
      <c r="D2750" t="s">
        <v>8772</v>
      </c>
      <c r="E2750" t="s">
        <v>537</v>
      </c>
      <c r="F2750" t="s">
        <v>24</v>
      </c>
      <c r="G2750" t="s">
        <v>24</v>
      </c>
      <c r="H2750">
        <f>22811*(1.01^10)</f>
        <v>25197.53530275499</v>
      </c>
      <c r="I2750">
        <f>128585*(1.01^10)</f>
        <v>142037.83599599978</v>
      </c>
      <c r="J2750" t="s">
        <v>8773</v>
      </c>
      <c r="K2750">
        <f t="shared" si="42"/>
        <v>586.20077268068337</v>
      </c>
    </row>
    <row r="2751" spans="1:11" x14ac:dyDescent="0.2">
      <c r="A2751" t="s">
        <v>422</v>
      </c>
      <c r="B2751" t="s">
        <v>1996</v>
      </c>
      <c r="C2751" t="s">
        <v>8774</v>
      </c>
      <c r="D2751" t="s">
        <v>8775</v>
      </c>
      <c r="E2751" t="s">
        <v>998</v>
      </c>
      <c r="F2751" t="s">
        <v>24</v>
      </c>
      <c r="G2751" t="s">
        <v>24</v>
      </c>
      <c r="H2751">
        <f>19386*(1.01^10)</f>
        <v>21414.204523221615</v>
      </c>
      <c r="I2751">
        <f>107503*(1.01^10)</f>
        <v>118750.19234808075</v>
      </c>
      <c r="J2751" t="s">
        <v>8776</v>
      </c>
      <c r="K2751">
        <f t="shared" si="42"/>
        <v>420.27494132003659</v>
      </c>
    </row>
    <row r="2752" spans="1:11" x14ac:dyDescent="0.2">
      <c r="A2752" t="s">
        <v>422</v>
      </c>
      <c r="B2752" t="s">
        <v>1996</v>
      </c>
      <c r="C2752" t="s">
        <v>8777</v>
      </c>
      <c r="D2752" t="s">
        <v>8778</v>
      </c>
      <c r="E2752" t="s">
        <v>498</v>
      </c>
      <c r="F2752" t="s">
        <v>24</v>
      </c>
      <c r="G2752" t="s">
        <v>24</v>
      </c>
      <c r="H2752">
        <f>20446*(1.01^10)</f>
        <v>22585.103976157494</v>
      </c>
      <c r="I2752">
        <f>113090*(1.01^10)</f>
        <v>124921.71616275315</v>
      </c>
      <c r="J2752" t="s">
        <v>8779</v>
      </c>
      <c r="K2752">
        <f t="shared" si="42"/>
        <v>420.7735433788659</v>
      </c>
    </row>
    <row r="2753" spans="1:11" x14ac:dyDescent="0.2">
      <c r="A2753" t="s">
        <v>422</v>
      </c>
      <c r="B2753" t="s">
        <v>1996</v>
      </c>
      <c r="C2753" t="s">
        <v>8780</v>
      </c>
      <c r="D2753" t="s">
        <v>8781</v>
      </c>
      <c r="E2753" t="s">
        <v>1656</v>
      </c>
      <c r="F2753" t="s">
        <v>24</v>
      </c>
      <c r="G2753" t="s">
        <v>24</v>
      </c>
      <c r="H2753">
        <f>9115*(1.01^10)</f>
        <v>10068.630673123131</v>
      </c>
      <c r="I2753">
        <f>50058*(1.01^10)</f>
        <v>55295.174353834089</v>
      </c>
      <c r="J2753" t="s">
        <v>8782</v>
      </c>
      <c r="K2753">
        <f t="shared" si="42"/>
        <v>552.67373593502793</v>
      </c>
    </row>
    <row r="2754" spans="1:11" x14ac:dyDescent="0.2">
      <c r="A2754" t="s">
        <v>422</v>
      </c>
      <c r="B2754" t="s">
        <v>1996</v>
      </c>
      <c r="C2754" t="s">
        <v>8783</v>
      </c>
      <c r="D2754" t="s">
        <v>8784</v>
      </c>
      <c r="E2754" t="s">
        <v>394</v>
      </c>
      <c r="F2754" t="s">
        <v>12</v>
      </c>
      <c r="G2754" t="s">
        <v>24</v>
      </c>
      <c r="H2754">
        <f>11963*(1.01^10)</f>
        <v>13214.594486294242</v>
      </c>
      <c r="I2754">
        <f>63053*(1.01^10)</f>
        <v>69649.738873552691</v>
      </c>
      <c r="J2754" t="s">
        <v>8785</v>
      </c>
      <c r="K2754">
        <f t="shared" si="42"/>
        <v>224.55440631394535</v>
      </c>
    </row>
    <row r="2755" spans="1:11" x14ac:dyDescent="0.2">
      <c r="A2755" t="s">
        <v>422</v>
      </c>
      <c r="B2755" t="s">
        <v>1996</v>
      </c>
      <c r="C2755" t="s">
        <v>8786</v>
      </c>
      <c r="D2755" t="s">
        <v>8787</v>
      </c>
      <c r="E2755" t="s">
        <v>324</v>
      </c>
      <c r="F2755" t="s">
        <v>12</v>
      </c>
      <c r="G2755" t="s">
        <v>12</v>
      </c>
      <c r="H2755">
        <f>18367*(1.01^10)</f>
        <v>20288.594577427597</v>
      </c>
      <c r="I2755">
        <f>82975*(1.01^10)</f>
        <v>91656.02085599472</v>
      </c>
      <c r="J2755" t="s">
        <v>8788</v>
      </c>
      <c r="K2755">
        <f t="shared" ref="K2755:K2818" si="43">I2755/J2755</f>
        <v>347.26267322792779</v>
      </c>
    </row>
    <row r="2756" spans="1:11" x14ac:dyDescent="0.2">
      <c r="A2756" t="s">
        <v>422</v>
      </c>
      <c r="B2756" t="s">
        <v>1996</v>
      </c>
      <c r="C2756" t="s">
        <v>8789</v>
      </c>
      <c r="D2756" t="s">
        <v>8790</v>
      </c>
      <c r="E2756" t="s">
        <v>555</v>
      </c>
      <c r="F2756" t="s">
        <v>12</v>
      </c>
      <c r="G2756" t="s">
        <v>24</v>
      </c>
      <c r="H2756">
        <f>30277*(1.01^10)</f>
        <v>33444.644091075046</v>
      </c>
      <c r="I2756">
        <f>132672*(1.01^10)</f>
        <v>146552.42662255536</v>
      </c>
      <c r="J2756" t="s">
        <v>8791</v>
      </c>
      <c r="K2756">
        <f t="shared" si="43"/>
        <v>281.40663791115554</v>
      </c>
    </row>
    <row r="2757" spans="1:11" x14ac:dyDescent="0.2">
      <c r="A2757" t="s">
        <v>422</v>
      </c>
      <c r="B2757" t="s">
        <v>604</v>
      </c>
      <c r="C2757" t="s">
        <v>8792</v>
      </c>
      <c r="D2757" t="s">
        <v>8793</v>
      </c>
      <c r="E2757" t="s">
        <v>631</v>
      </c>
      <c r="F2757" t="s">
        <v>24</v>
      </c>
      <c r="G2757" t="s">
        <v>24</v>
      </c>
      <c r="H2757">
        <f>20839*(1.01^10)</f>
        <v>23019.220471444096</v>
      </c>
      <c r="I2757">
        <f>109082*(1.01^10)</f>
        <v>120494.39068410503</v>
      </c>
      <c r="J2757" t="s">
        <v>8794</v>
      </c>
      <c r="K2757">
        <f t="shared" si="43"/>
        <v>240.90732407858553</v>
      </c>
    </row>
    <row r="2758" spans="1:11" x14ac:dyDescent="0.2">
      <c r="A2758" t="s">
        <v>422</v>
      </c>
      <c r="B2758" t="s">
        <v>604</v>
      </c>
      <c r="C2758" t="s">
        <v>8795</v>
      </c>
      <c r="D2758" t="s">
        <v>8796</v>
      </c>
      <c r="E2758" t="s">
        <v>172</v>
      </c>
      <c r="F2758" t="s">
        <v>24</v>
      </c>
      <c r="G2758" t="s">
        <v>12</v>
      </c>
      <c r="H2758">
        <f>17607*(1.01^10)</f>
        <v>19449.081762115082</v>
      </c>
      <c r="I2758">
        <f>92991*(1.01^10)</f>
        <v>102719.91606411333</v>
      </c>
      <c r="J2758" t="s">
        <v>8797</v>
      </c>
      <c r="K2758">
        <f t="shared" si="43"/>
        <v>236.72920103510216</v>
      </c>
    </row>
    <row r="2759" spans="1:11" x14ac:dyDescent="0.2">
      <c r="A2759" t="s">
        <v>422</v>
      </c>
      <c r="B2759" t="s">
        <v>604</v>
      </c>
      <c r="C2759" t="s">
        <v>8798</v>
      </c>
      <c r="D2759" t="s">
        <v>1652</v>
      </c>
      <c r="E2759" t="s">
        <v>232</v>
      </c>
      <c r="F2759" t="s">
        <v>12</v>
      </c>
      <c r="G2759" t="s">
        <v>24</v>
      </c>
      <c r="H2759">
        <f>7813*(1.01^10)</f>
        <v>8630.4126658377427</v>
      </c>
      <c r="I2759">
        <f>39349*(1.01^10)</f>
        <v>43465.776012805494</v>
      </c>
      <c r="J2759" t="s">
        <v>8799</v>
      </c>
      <c r="K2759">
        <f t="shared" si="43"/>
        <v>168.90140059965194</v>
      </c>
    </row>
    <row r="2760" spans="1:11" x14ac:dyDescent="0.2">
      <c r="A2760" t="s">
        <v>422</v>
      </c>
      <c r="B2760" t="s">
        <v>604</v>
      </c>
      <c r="C2760" t="s">
        <v>8800</v>
      </c>
      <c r="D2760" t="s">
        <v>8801</v>
      </c>
      <c r="E2760" t="s">
        <v>784</v>
      </c>
      <c r="F2760" t="s">
        <v>24</v>
      </c>
      <c r="G2760" t="s">
        <v>24</v>
      </c>
      <c r="H2760">
        <f>16323*(1.01^10)</f>
        <v>18030.746953087095</v>
      </c>
      <c r="I2760">
        <f>85486*(1.01^10)</f>
        <v>94429.727012902251</v>
      </c>
      <c r="J2760" t="s">
        <v>8802</v>
      </c>
      <c r="K2760">
        <f t="shared" si="43"/>
        <v>248.59315489397358</v>
      </c>
    </row>
    <row r="2761" spans="1:11" x14ac:dyDescent="0.2">
      <c r="A2761" t="s">
        <v>422</v>
      </c>
      <c r="B2761" t="s">
        <v>604</v>
      </c>
      <c r="C2761" t="s">
        <v>8803</v>
      </c>
      <c r="D2761" t="s">
        <v>8804</v>
      </c>
      <c r="E2761" t="s">
        <v>1282</v>
      </c>
      <c r="F2761" t="s">
        <v>12</v>
      </c>
      <c r="G2761" t="s">
        <v>12</v>
      </c>
      <c r="H2761">
        <f>24607*(1.01^10)</f>
        <v>27181.436639993517</v>
      </c>
      <c r="I2761">
        <f>124388*(1.01^10)</f>
        <v>137401.73693564892</v>
      </c>
      <c r="J2761" t="s">
        <v>8805</v>
      </c>
      <c r="K2761">
        <f t="shared" si="43"/>
        <v>296.19381684119242</v>
      </c>
    </row>
    <row r="2762" spans="1:11" x14ac:dyDescent="0.2">
      <c r="A2762" t="s">
        <v>422</v>
      </c>
      <c r="B2762" t="s">
        <v>604</v>
      </c>
      <c r="C2762" t="s">
        <v>8806</v>
      </c>
      <c r="D2762" t="s">
        <v>8807</v>
      </c>
      <c r="E2762" t="s">
        <v>555</v>
      </c>
      <c r="F2762" t="s">
        <v>24</v>
      </c>
      <c r="G2762" t="s">
        <v>24</v>
      </c>
      <c r="H2762">
        <f>16511*(1.01^10)</f>
        <v>18238.415912664401</v>
      </c>
      <c r="I2762">
        <f>80589*(1.01^10)</f>
        <v>89020.392464763572</v>
      </c>
      <c r="J2762" t="s">
        <v>8808</v>
      </c>
      <c r="K2762">
        <f t="shared" si="43"/>
        <v>178.10166557592285</v>
      </c>
    </row>
    <row r="2763" spans="1:11" x14ac:dyDescent="0.2">
      <c r="A2763" t="s">
        <v>422</v>
      </c>
      <c r="B2763" t="s">
        <v>3356</v>
      </c>
      <c r="C2763" t="s">
        <v>8809</v>
      </c>
      <c r="D2763" t="s">
        <v>8810</v>
      </c>
      <c r="E2763" t="s">
        <v>121</v>
      </c>
      <c r="F2763" t="s">
        <v>24</v>
      </c>
      <c r="G2763" t="s">
        <v>24</v>
      </c>
      <c r="H2763">
        <f>11262*(1.01^10)</f>
        <v>12440.254376380988</v>
      </c>
      <c r="I2763">
        <f>62319*(1.01^10)</f>
        <v>68838.946233500872</v>
      </c>
      <c r="J2763" t="s">
        <v>8811</v>
      </c>
      <c r="K2763">
        <f t="shared" si="43"/>
        <v>110.90626702725515</v>
      </c>
    </row>
    <row r="2764" spans="1:11" x14ac:dyDescent="0.2">
      <c r="A2764" t="s">
        <v>422</v>
      </c>
      <c r="B2764" t="s">
        <v>3356</v>
      </c>
      <c r="C2764" t="s">
        <v>8812</v>
      </c>
      <c r="D2764" t="s">
        <v>8813</v>
      </c>
      <c r="E2764" t="s">
        <v>399</v>
      </c>
      <c r="F2764" t="s">
        <v>24</v>
      </c>
      <c r="G2764" t="s">
        <v>12</v>
      </c>
      <c r="H2764">
        <f>20262*(1.01^10)</f>
        <v>22381.853505081832</v>
      </c>
      <c r="I2764">
        <f>114399*(1.01^10)</f>
        <v>126367.66652491641</v>
      </c>
      <c r="J2764" t="s">
        <v>8814</v>
      </c>
      <c r="K2764">
        <f t="shared" si="43"/>
        <v>234.84258710405049</v>
      </c>
    </row>
    <row r="2765" spans="1:11" x14ac:dyDescent="0.2">
      <c r="A2765" t="s">
        <v>422</v>
      </c>
      <c r="B2765" t="s">
        <v>3356</v>
      </c>
      <c r="C2765" t="s">
        <v>8815</v>
      </c>
      <c r="D2765" t="s">
        <v>8816</v>
      </c>
      <c r="E2765" t="s">
        <v>324</v>
      </c>
      <c r="F2765" t="s">
        <v>12</v>
      </c>
      <c r="G2765" t="s">
        <v>24</v>
      </c>
      <c r="H2765">
        <f>20941*(1.01^10)</f>
        <v>23131.89192823604</v>
      </c>
      <c r="I2765">
        <f>116844*(1.01^10)</f>
        <v>129068.46762154681</v>
      </c>
      <c r="J2765" t="s">
        <v>8817</v>
      </c>
      <c r="K2765">
        <f t="shared" si="43"/>
        <v>302.24291654971648</v>
      </c>
    </row>
    <row r="2766" spans="1:11" x14ac:dyDescent="0.2">
      <c r="A2766" t="s">
        <v>422</v>
      </c>
      <c r="B2766" t="s">
        <v>3356</v>
      </c>
      <c r="C2766" t="s">
        <v>8818</v>
      </c>
      <c r="D2766" t="s">
        <v>8819</v>
      </c>
      <c r="E2766" t="s">
        <v>537</v>
      </c>
      <c r="F2766" t="s">
        <v>24</v>
      </c>
      <c r="G2766" t="s">
        <v>24</v>
      </c>
      <c r="H2766">
        <f>15015*(1.01^10)</f>
        <v>16585.901213049241</v>
      </c>
      <c r="I2766">
        <f>84572*(1.01^10)</f>
        <v>93420.102390276414</v>
      </c>
      <c r="J2766" t="s">
        <v>8820</v>
      </c>
      <c r="K2766">
        <f t="shared" si="43"/>
        <v>309.26239764865693</v>
      </c>
    </row>
    <row r="2767" spans="1:11" x14ac:dyDescent="0.2">
      <c r="A2767" t="s">
        <v>422</v>
      </c>
      <c r="B2767" t="s">
        <v>3356</v>
      </c>
      <c r="C2767" t="s">
        <v>8821</v>
      </c>
      <c r="D2767" t="s">
        <v>8822</v>
      </c>
      <c r="E2767" t="s">
        <v>1106</v>
      </c>
      <c r="F2767" t="s">
        <v>24</v>
      </c>
      <c r="G2767" t="s">
        <v>24</v>
      </c>
      <c r="H2767">
        <f>12371*(1.01^10)</f>
        <v>13665.280313462014</v>
      </c>
      <c r="I2767">
        <f>63775*(1.01^10)</f>
        <v>70447.276048099578</v>
      </c>
      <c r="J2767" t="s">
        <v>8823</v>
      </c>
      <c r="K2767">
        <f t="shared" si="43"/>
        <v>191.70865784638306</v>
      </c>
    </row>
    <row r="2768" spans="1:11" x14ac:dyDescent="0.2">
      <c r="A2768" t="s">
        <v>422</v>
      </c>
      <c r="B2768" t="s">
        <v>3356</v>
      </c>
      <c r="C2768" t="s">
        <v>8824</v>
      </c>
      <c r="D2768" t="s">
        <v>8825</v>
      </c>
      <c r="E2768" t="s">
        <v>337</v>
      </c>
      <c r="F2768" t="s">
        <v>24</v>
      </c>
      <c r="G2768" t="s">
        <v>24</v>
      </c>
      <c r="H2768">
        <f>15754*(1.01^10)</f>
        <v>17402.216963728119</v>
      </c>
      <c r="I2768">
        <f>80731*(1.01^10)</f>
        <v>89177.248806571966</v>
      </c>
      <c r="J2768" t="s">
        <v>8826</v>
      </c>
      <c r="K2768">
        <f t="shared" si="43"/>
        <v>219.80043165640348</v>
      </c>
    </row>
    <row r="2769" spans="1:11" x14ac:dyDescent="0.2">
      <c r="A2769" t="s">
        <v>422</v>
      </c>
      <c r="B2769" t="s">
        <v>3356</v>
      </c>
      <c r="C2769" t="s">
        <v>8827</v>
      </c>
      <c r="D2769" t="s">
        <v>8828</v>
      </c>
      <c r="E2769" t="s">
        <v>1617</v>
      </c>
      <c r="F2769" t="s">
        <v>24</v>
      </c>
      <c r="G2769" t="s">
        <v>17</v>
      </c>
      <c r="H2769">
        <f>39347*(1.01^10)</f>
        <v>43463.566768554672</v>
      </c>
      <c r="I2769">
        <f>213620*(1.01^10)</f>
        <v>235969.37843034155</v>
      </c>
      <c r="J2769" t="s">
        <v>8829</v>
      </c>
      <c r="K2769">
        <f t="shared" si="43"/>
        <v>433.52687334902095</v>
      </c>
    </row>
    <row r="2770" spans="1:11" x14ac:dyDescent="0.2">
      <c r="A2770" t="s">
        <v>422</v>
      </c>
      <c r="B2770" t="s">
        <v>3356</v>
      </c>
      <c r="C2770" t="s">
        <v>8830</v>
      </c>
      <c r="D2770" t="s">
        <v>5035</v>
      </c>
      <c r="E2770" t="s">
        <v>1101</v>
      </c>
      <c r="F2770" t="s">
        <v>17</v>
      </c>
      <c r="G2770" t="s">
        <v>24</v>
      </c>
      <c r="H2770">
        <f>10056*(1.01^10)</f>
        <v>11108.080093135075</v>
      </c>
      <c r="I2770">
        <f>56591*(1.01^10)</f>
        <v>62511.670699145485</v>
      </c>
      <c r="J2770" t="s">
        <v>8831</v>
      </c>
      <c r="K2770">
        <f t="shared" si="43"/>
        <v>132.68269305502696</v>
      </c>
    </row>
    <row r="2771" spans="1:11" x14ac:dyDescent="0.2">
      <c r="A2771" t="s">
        <v>422</v>
      </c>
      <c r="B2771" t="s">
        <v>3356</v>
      </c>
      <c r="C2771" t="s">
        <v>8832</v>
      </c>
      <c r="D2771" t="s">
        <v>8329</v>
      </c>
      <c r="E2771" t="s">
        <v>1545</v>
      </c>
      <c r="F2771" t="s">
        <v>24</v>
      </c>
      <c r="G2771" t="s">
        <v>24</v>
      </c>
      <c r="H2771">
        <f>8610*(1.01^10)</f>
        <v>9510.7964997904728</v>
      </c>
      <c r="I2771">
        <f>49134*(1.01^10)</f>
        <v>54274.503509954135</v>
      </c>
      <c r="J2771" t="s">
        <v>8833</v>
      </c>
      <c r="K2771">
        <f t="shared" si="43"/>
        <v>144.82874981822107</v>
      </c>
    </row>
    <row r="2772" spans="1:11" x14ac:dyDescent="0.2">
      <c r="A2772" t="s">
        <v>422</v>
      </c>
      <c r="B2772" t="s">
        <v>3356</v>
      </c>
      <c r="C2772" t="s">
        <v>8834</v>
      </c>
      <c r="D2772" t="s">
        <v>8835</v>
      </c>
      <c r="E2772" t="s">
        <v>91</v>
      </c>
      <c r="F2772" t="s">
        <v>12</v>
      </c>
      <c r="G2772" t="s">
        <v>24</v>
      </c>
      <c r="H2772">
        <f>5257*(1.01^10)</f>
        <v>5806.9985132867032</v>
      </c>
      <c r="I2772">
        <f>30926*(1.01^10)</f>
        <v>34161.543850466915</v>
      </c>
      <c r="J2772" t="s">
        <v>8836</v>
      </c>
      <c r="K2772">
        <f t="shared" si="43"/>
        <v>159.65131450154459</v>
      </c>
    </row>
    <row r="2773" spans="1:11" x14ac:dyDescent="0.2">
      <c r="A2773" t="s">
        <v>422</v>
      </c>
      <c r="B2773" t="s">
        <v>3356</v>
      </c>
      <c r="C2773" t="s">
        <v>8837</v>
      </c>
      <c r="D2773" t="s">
        <v>8838</v>
      </c>
      <c r="E2773" t="s">
        <v>264</v>
      </c>
      <c r="F2773" t="s">
        <v>24</v>
      </c>
      <c r="G2773" t="s">
        <v>24</v>
      </c>
      <c r="H2773">
        <f>13618*(1.01^10)</f>
        <v>15042.744103849785</v>
      </c>
      <c r="I2773">
        <f>71443*(1.01^10)</f>
        <v>78917.518505752698</v>
      </c>
      <c r="J2773" t="s">
        <v>8839</v>
      </c>
      <c r="K2773">
        <f t="shared" si="43"/>
        <v>153.05895575986253</v>
      </c>
    </row>
    <row r="2774" spans="1:11" x14ac:dyDescent="0.2">
      <c r="A2774" t="s">
        <v>422</v>
      </c>
      <c r="B2774" t="s">
        <v>3356</v>
      </c>
      <c r="C2774" t="s">
        <v>8840</v>
      </c>
      <c r="D2774" t="s">
        <v>8841</v>
      </c>
      <c r="E2774" t="s">
        <v>1106</v>
      </c>
      <c r="F2774" t="s">
        <v>24</v>
      </c>
      <c r="G2774" t="s">
        <v>24</v>
      </c>
      <c r="H2774">
        <f>16495*(1.01^10)</f>
        <v>18220.741958657822</v>
      </c>
      <c r="I2774">
        <f>80859*(1.01^10)</f>
        <v>89318.640438624599</v>
      </c>
      <c r="J2774" t="s">
        <v>8842</v>
      </c>
      <c r="K2774">
        <f t="shared" si="43"/>
        <v>154.22498215103576</v>
      </c>
    </row>
    <row r="2775" spans="1:11" x14ac:dyDescent="0.2">
      <c r="A2775" t="s">
        <v>422</v>
      </c>
      <c r="B2775" t="s">
        <v>1056</v>
      </c>
      <c r="C2775" t="s">
        <v>8843</v>
      </c>
      <c r="D2775" t="s">
        <v>8844</v>
      </c>
      <c r="E2775" t="s">
        <v>264</v>
      </c>
      <c r="F2775" t="s">
        <v>24</v>
      </c>
      <c r="G2775" t="s">
        <v>12</v>
      </c>
      <c r="H2775">
        <f>22177*(1.01^10)</f>
        <v>24497.204875244286</v>
      </c>
      <c r="I2775">
        <f>115075*(1.01^10)</f>
        <v>127114.39108169438</v>
      </c>
      <c r="J2775" t="s">
        <v>8845</v>
      </c>
      <c r="K2775">
        <f t="shared" si="43"/>
        <v>232.95780060782602</v>
      </c>
    </row>
    <row r="2776" spans="1:11" x14ac:dyDescent="0.2">
      <c r="A2776" t="s">
        <v>422</v>
      </c>
      <c r="B2776" t="s">
        <v>1056</v>
      </c>
      <c r="C2776" t="s">
        <v>8846</v>
      </c>
      <c r="D2776" t="s">
        <v>8847</v>
      </c>
      <c r="E2776" t="s">
        <v>374</v>
      </c>
      <c r="F2776" t="s">
        <v>24</v>
      </c>
      <c r="G2776" t="s">
        <v>24</v>
      </c>
      <c r="H2776">
        <f>7357*(1.01^10)</f>
        <v>8126.7049766502332</v>
      </c>
      <c r="I2776">
        <f>37507*(1.01^10)</f>
        <v>41431.062057798059</v>
      </c>
      <c r="J2776" t="s">
        <v>8848</v>
      </c>
      <c r="K2776">
        <f t="shared" si="43"/>
        <v>182.7516163604646</v>
      </c>
    </row>
    <row r="2777" spans="1:11" x14ac:dyDescent="0.2">
      <c r="A2777" t="s">
        <v>422</v>
      </c>
      <c r="B2777" t="s">
        <v>1056</v>
      </c>
      <c r="C2777" t="s">
        <v>8849</v>
      </c>
      <c r="D2777" t="s">
        <v>8850</v>
      </c>
      <c r="E2777" t="s">
        <v>77</v>
      </c>
      <c r="F2777" t="s">
        <v>24</v>
      </c>
      <c r="G2777" t="s">
        <v>24</v>
      </c>
      <c r="H2777">
        <f>9847*(1.01^10)</f>
        <v>10877.214068924133</v>
      </c>
      <c r="I2777">
        <f>47984*(1.01^10)</f>
        <v>53004.18806573125</v>
      </c>
      <c r="J2777" t="s">
        <v>8851</v>
      </c>
      <c r="K2777">
        <f t="shared" si="43"/>
        <v>192.94495950263598</v>
      </c>
    </row>
    <row r="2778" spans="1:11" x14ac:dyDescent="0.2">
      <c r="A2778" t="s">
        <v>422</v>
      </c>
      <c r="B2778" t="s">
        <v>1056</v>
      </c>
      <c r="C2778" t="s">
        <v>8852</v>
      </c>
      <c r="D2778" t="s">
        <v>8853</v>
      </c>
      <c r="E2778" t="s">
        <v>422</v>
      </c>
      <c r="F2778" t="s">
        <v>12</v>
      </c>
      <c r="G2778" t="s">
        <v>24</v>
      </c>
      <c r="H2778">
        <f>7580*(1.01^10)</f>
        <v>8373.0357106169322</v>
      </c>
      <c r="I2778">
        <f>39218*(1.01^10)</f>
        <v>43321.070514376624</v>
      </c>
      <c r="J2778" t="s">
        <v>8854</v>
      </c>
      <c r="K2778">
        <f t="shared" si="43"/>
        <v>171.30382265453119</v>
      </c>
    </row>
    <row r="2779" spans="1:11" x14ac:dyDescent="0.2">
      <c r="A2779" t="s">
        <v>422</v>
      </c>
      <c r="B2779" t="s">
        <v>1056</v>
      </c>
      <c r="C2779" t="s">
        <v>8855</v>
      </c>
      <c r="D2779" t="s">
        <v>8856</v>
      </c>
      <c r="E2779" t="s">
        <v>427</v>
      </c>
      <c r="F2779" t="s">
        <v>24</v>
      </c>
      <c r="G2779" t="s">
        <v>24</v>
      </c>
      <c r="H2779">
        <f>6182*(1.01^10)</f>
        <v>6828.7739792920675</v>
      </c>
      <c r="I2779">
        <f>30786*(1.01^10)</f>
        <v>34006.89675290935</v>
      </c>
      <c r="J2779" t="s">
        <v>8857</v>
      </c>
      <c r="K2779">
        <f t="shared" si="43"/>
        <v>116.08379879065811</v>
      </c>
    </row>
    <row r="2780" spans="1:11" x14ac:dyDescent="0.2">
      <c r="A2780" t="s">
        <v>422</v>
      </c>
      <c r="B2780" t="s">
        <v>1056</v>
      </c>
      <c r="C2780" t="s">
        <v>8858</v>
      </c>
      <c r="D2780" t="s">
        <v>8859</v>
      </c>
      <c r="E2780" t="s">
        <v>264</v>
      </c>
      <c r="F2780" t="s">
        <v>24</v>
      </c>
      <c r="G2780" t="s">
        <v>24</v>
      </c>
      <c r="H2780">
        <f>17433*(1.01^10)</f>
        <v>19256.877512293533</v>
      </c>
      <c r="I2780">
        <f>87458*(1.01^10)</f>
        <v>96608.041844213149</v>
      </c>
      <c r="J2780" t="s">
        <v>8860</v>
      </c>
      <c r="K2780">
        <f t="shared" si="43"/>
        <v>158.05726672435725</v>
      </c>
    </row>
    <row r="2781" spans="1:11" x14ac:dyDescent="0.2">
      <c r="A2781" t="s">
        <v>422</v>
      </c>
      <c r="B2781" t="s">
        <v>1056</v>
      </c>
      <c r="C2781" t="s">
        <v>8861</v>
      </c>
      <c r="D2781" t="s">
        <v>8862</v>
      </c>
      <c r="E2781" t="s">
        <v>619</v>
      </c>
      <c r="F2781" t="s">
        <v>24</v>
      </c>
      <c r="G2781" t="s">
        <v>24</v>
      </c>
      <c r="H2781">
        <f>14106*(1.01^10)</f>
        <v>15581.799701050455</v>
      </c>
      <c r="I2781">
        <f>71283*(1.01^10)</f>
        <v>78740.778965686914</v>
      </c>
      <c r="J2781" t="s">
        <v>8863</v>
      </c>
      <c r="K2781">
        <f t="shared" si="43"/>
        <v>179.36606118246115</v>
      </c>
    </row>
    <row r="2782" spans="1:11" x14ac:dyDescent="0.2">
      <c r="A2782" t="s">
        <v>422</v>
      </c>
      <c r="B2782" t="s">
        <v>1056</v>
      </c>
      <c r="C2782" t="s">
        <v>8864</v>
      </c>
      <c r="D2782" t="s">
        <v>8865</v>
      </c>
      <c r="E2782" t="s">
        <v>51</v>
      </c>
      <c r="F2782" t="s">
        <v>24</v>
      </c>
      <c r="G2782" t="s">
        <v>24</v>
      </c>
      <c r="H2782">
        <f>12389*(1.01^10)</f>
        <v>13685.163511719416</v>
      </c>
      <c r="I2782">
        <f>64286*(1.01^10)</f>
        <v>71011.737954184704</v>
      </c>
      <c r="J2782" t="s">
        <v>8866</v>
      </c>
      <c r="K2782">
        <f t="shared" si="43"/>
        <v>209.06415541309678</v>
      </c>
    </row>
    <row r="2783" spans="1:11" x14ac:dyDescent="0.2">
      <c r="A2783" t="s">
        <v>422</v>
      </c>
      <c r="B2783" t="s">
        <v>1056</v>
      </c>
      <c r="C2783" t="s">
        <v>8867</v>
      </c>
      <c r="D2783" t="s">
        <v>8868</v>
      </c>
      <c r="E2783" t="s">
        <v>356</v>
      </c>
      <c r="F2783" t="s">
        <v>24</v>
      </c>
      <c r="G2783" t="s">
        <v>24</v>
      </c>
      <c r="H2783">
        <f>4981*(1.01^10)</f>
        <v>5502.122806673211</v>
      </c>
      <c r="I2783">
        <f>25519*(1.01^10)</f>
        <v>28188.852018368532</v>
      </c>
      <c r="J2783" t="s">
        <v>8869</v>
      </c>
      <c r="K2783">
        <f t="shared" si="43"/>
        <v>109.45702223316358</v>
      </c>
    </row>
    <row r="2784" spans="1:11" x14ac:dyDescent="0.2">
      <c r="A2784" t="s">
        <v>422</v>
      </c>
      <c r="B2784" t="s">
        <v>1056</v>
      </c>
      <c r="C2784" t="s">
        <v>8870</v>
      </c>
      <c r="D2784" t="s">
        <v>8871</v>
      </c>
      <c r="E2784" t="s">
        <v>589</v>
      </c>
      <c r="F2784" t="s">
        <v>24</v>
      </c>
      <c r="G2784" t="s">
        <v>24</v>
      </c>
      <c r="H2784">
        <f>16236*(1.01^10)</f>
        <v>17934.644828176319</v>
      </c>
      <c r="I2784">
        <f>80462*(1.01^10)</f>
        <v>88880.105454836361</v>
      </c>
      <c r="J2784" t="s">
        <v>8872</v>
      </c>
      <c r="K2784">
        <f t="shared" si="43"/>
        <v>166.54467655436449</v>
      </c>
    </row>
    <row r="2785" spans="1:11" x14ac:dyDescent="0.2">
      <c r="A2785" t="s">
        <v>422</v>
      </c>
      <c r="B2785" t="s">
        <v>602</v>
      </c>
      <c r="C2785" t="s">
        <v>8873</v>
      </c>
      <c r="D2785" t="s">
        <v>8874</v>
      </c>
      <c r="E2785" t="s">
        <v>977</v>
      </c>
      <c r="F2785" t="s">
        <v>6</v>
      </c>
      <c r="G2785" t="s">
        <v>24</v>
      </c>
      <c r="H2785">
        <f>16408*(1.01^10)</f>
        <v>18124.639833747049</v>
      </c>
      <c r="I2785">
        <f>77697*(1.01^10)</f>
        <v>85825.825278074379</v>
      </c>
      <c r="J2785" t="s">
        <v>8875</v>
      </c>
      <c r="K2785">
        <f t="shared" si="43"/>
        <v>425.09873863678331</v>
      </c>
    </row>
    <row r="2786" spans="1:11" x14ac:dyDescent="0.2">
      <c r="A2786" t="s">
        <v>422</v>
      </c>
      <c r="B2786" t="s">
        <v>602</v>
      </c>
      <c r="C2786" t="s">
        <v>8876</v>
      </c>
      <c r="D2786" t="s">
        <v>8877</v>
      </c>
      <c r="E2786" t="s">
        <v>337</v>
      </c>
      <c r="F2786" t="s">
        <v>24</v>
      </c>
      <c r="G2786" t="s">
        <v>24</v>
      </c>
      <c r="H2786">
        <f>7245*(1.01^10)</f>
        <v>8002.9872986041782</v>
      </c>
      <c r="I2786">
        <f>38282*(1.01^10)</f>
        <v>42287.144204991739</v>
      </c>
      <c r="J2786" t="s">
        <v>8878</v>
      </c>
      <c r="K2786">
        <f t="shared" si="43"/>
        <v>69.112819510164613</v>
      </c>
    </row>
    <row r="2787" spans="1:11" x14ac:dyDescent="0.2">
      <c r="A2787" t="s">
        <v>422</v>
      </c>
      <c r="B2787" t="s">
        <v>602</v>
      </c>
      <c r="C2787" t="s">
        <v>8879</v>
      </c>
      <c r="D2787" t="s">
        <v>8880</v>
      </c>
      <c r="E2787" t="s">
        <v>786</v>
      </c>
      <c r="F2787" t="s">
        <v>17</v>
      </c>
      <c r="G2787" t="s">
        <v>24</v>
      </c>
      <c r="H2787">
        <f>17017*(1.01^10)</f>
        <v>18797.354708122471</v>
      </c>
      <c r="I2787">
        <f>87072*(1.01^10)</f>
        <v>96181.65770380442</v>
      </c>
      <c r="J2787" t="s">
        <v>8881</v>
      </c>
      <c r="K2787">
        <f t="shared" si="43"/>
        <v>197.15377886717138</v>
      </c>
    </row>
    <row r="2788" spans="1:11" x14ac:dyDescent="0.2">
      <c r="A2788" t="s">
        <v>422</v>
      </c>
      <c r="B2788" t="s">
        <v>602</v>
      </c>
      <c r="C2788" t="s">
        <v>8882</v>
      </c>
      <c r="D2788" t="s">
        <v>8883</v>
      </c>
      <c r="E2788" t="s">
        <v>809</v>
      </c>
      <c r="F2788" t="s">
        <v>405</v>
      </c>
      <c r="G2788" t="s">
        <v>12</v>
      </c>
      <c r="H2788">
        <f>41410*(1.01^10)</f>
        <v>45742.402213277986</v>
      </c>
      <c r="I2788">
        <f>197953*(1.01^10)</f>
        <v>218663.26359152421</v>
      </c>
      <c r="J2788" t="s">
        <v>8884</v>
      </c>
      <c r="K2788">
        <f t="shared" si="43"/>
        <v>553.74197433379675</v>
      </c>
    </row>
    <row r="2789" spans="1:11" x14ac:dyDescent="0.2">
      <c r="A2789" t="s">
        <v>422</v>
      </c>
      <c r="B2789" t="s">
        <v>602</v>
      </c>
      <c r="C2789" t="s">
        <v>8885</v>
      </c>
      <c r="D2789" t="s">
        <v>8886</v>
      </c>
      <c r="E2789" t="s">
        <v>1960</v>
      </c>
      <c r="F2789" t="s">
        <v>12</v>
      </c>
      <c r="G2789" t="s">
        <v>24</v>
      </c>
      <c r="H2789">
        <f>15891*(1.01^10)</f>
        <v>17553.550194909454</v>
      </c>
      <c r="I2789">
        <f>83047*(1.01^10)</f>
        <v>91735.553649024325</v>
      </c>
      <c r="J2789" t="s">
        <v>8887</v>
      </c>
      <c r="K2789">
        <f t="shared" si="43"/>
        <v>220.58210166670662</v>
      </c>
    </row>
    <row r="2790" spans="1:11" x14ac:dyDescent="0.2">
      <c r="A2790" t="s">
        <v>422</v>
      </c>
      <c r="B2790" t="s">
        <v>602</v>
      </c>
      <c r="C2790" t="s">
        <v>8888</v>
      </c>
      <c r="D2790" t="s">
        <v>8889</v>
      </c>
      <c r="E2790" t="s">
        <v>1549</v>
      </c>
      <c r="F2790" t="s">
        <v>92</v>
      </c>
      <c r="G2790" t="s">
        <v>24</v>
      </c>
      <c r="H2790">
        <f>15072*(1.01^10)</f>
        <v>16648.864674197677</v>
      </c>
      <c r="I2790">
        <f>74019*(1.01^10)</f>
        <v>81763.025100811967</v>
      </c>
      <c r="J2790" t="s">
        <v>8890</v>
      </c>
      <c r="K2790">
        <f t="shared" si="43"/>
        <v>153.03465705752168</v>
      </c>
    </row>
    <row r="2791" spans="1:11" x14ac:dyDescent="0.2">
      <c r="A2791" t="s">
        <v>422</v>
      </c>
      <c r="B2791" t="s">
        <v>602</v>
      </c>
      <c r="C2791" t="s">
        <v>8891</v>
      </c>
      <c r="D2791" t="s">
        <v>8892</v>
      </c>
      <c r="E2791" t="s">
        <v>337</v>
      </c>
      <c r="F2791" t="s">
        <v>24</v>
      </c>
      <c r="G2791" t="s">
        <v>24</v>
      </c>
      <c r="H2791">
        <f>8371*(1.01^10)</f>
        <v>9246.7918118171947</v>
      </c>
      <c r="I2791">
        <f>44406*(1.01^10)</f>
        <v>49051.850101009957</v>
      </c>
      <c r="J2791" t="s">
        <v>8893</v>
      </c>
      <c r="K2791">
        <f t="shared" si="43"/>
        <v>159.22705591041273</v>
      </c>
    </row>
    <row r="2792" spans="1:11" x14ac:dyDescent="0.2">
      <c r="A2792" t="s">
        <v>422</v>
      </c>
      <c r="B2792" t="s">
        <v>602</v>
      </c>
      <c r="C2792" t="s">
        <v>8894</v>
      </c>
      <c r="D2792" t="s">
        <v>8895</v>
      </c>
      <c r="E2792" t="s">
        <v>1223</v>
      </c>
      <c r="F2792" t="s">
        <v>24</v>
      </c>
      <c r="G2792" t="s">
        <v>12</v>
      </c>
      <c r="H2792">
        <f>18260*(1.01^10)</f>
        <v>20170.400010008598</v>
      </c>
      <c r="I2792">
        <f>90142*(1.01^10)</f>
        <v>99572.847628816817</v>
      </c>
      <c r="J2792" t="s">
        <v>8896</v>
      </c>
      <c r="K2792">
        <f t="shared" si="43"/>
        <v>102.85490464308162</v>
      </c>
    </row>
    <row r="2793" spans="1:11" x14ac:dyDescent="0.2">
      <c r="A2793" t="s">
        <v>422</v>
      </c>
      <c r="B2793" t="s">
        <v>602</v>
      </c>
      <c r="C2793" t="s">
        <v>8897</v>
      </c>
      <c r="D2793" t="s">
        <v>8898</v>
      </c>
      <c r="E2793" t="s">
        <v>425</v>
      </c>
      <c r="F2793" t="s">
        <v>12</v>
      </c>
      <c r="G2793" t="s">
        <v>92</v>
      </c>
      <c r="H2793">
        <f>23841*(1.01^10)</f>
        <v>26335.296091928532</v>
      </c>
      <c r="I2793">
        <f>113333*(1.01^10)</f>
        <v>125190.13933922807</v>
      </c>
      <c r="J2793" t="s">
        <v>8899</v>
      </c>
      <c r="K2793">
        <f t="shared" si="43"/>
        <v>204.33299179577975</v>
      </c>
    </row>
    <row r="2794" spans="1:11" x14ac:dyDescent="0.2">
      <c r="A2794" t="s">
        <v>422</v>
      </c>
      <c r="B2794" t="s">
        <v>602</v>
      </c>
      <c r="C2794" t="s">
        <v>8900</v>
      </c>
      <c r="D2794" t="s">
        <v>8901</v>
      </c>
      <c r="E2794" t="s">
        <v>1106</v>
      </c>
      <c r="F2794" t="s">
        <v>24</v>
      </c>
      <c r="G2794" t="s">
        <v>24</v>
      </c>
      <c r="H2794">
        <f>12129*(1.01^10)</f>
        <v>13397.961759112502</v>
      </c>
      <c r="I2794">
        <f>59918*(1.01^10)</f>
        <v>66186.74851038857</v>
      </c>
      <c r="J2794" t="s">
        <v>8902</v>
      </c>
      <c r="K2794">
        <f t="shared" si="43"/>
        <v>102.89467093192923</v>
      </c>
    </row>
    <row r="2795" spans="1:11" x14ac:dyDescent="0.2">
      <c r="A2795" t="s">
        <v>422</v>
      </c>
      <c r="B2795" t="s">
        <v>602</v>
      </c>
      <c r="C2795" t="s">
        <v>8903</v>
      </c>
      <c r="D2795" t="s">
        <v>8904</v>
      </c>
      <c r="E2795" t="s">
        <v>1580</v>
      </c>
      <c r="F2795" t="s">
        <v>24</v>
      </c>
      <c r="G2795" t="s">
        <v>24</v>
      </c>
      <c r="H2795">
        <f>13503*(1.01^10)</f>
        <v>14915.712559427498</v>
      </c>
      <c r="I2795">
        <f>67226*(1.01^10)</f>
        <v>74259.327002893653</v>
      </c>
      <c r="J2795" t="s">
        <v>8905</v>
      </c>
      <c r="K2795">
        <f t="shared" si="43"/>
        <v>250.52788149779886</v>
      </c>
    </row>
    <row r="2796" spans="1:11" x14ac:dyDescent="0.2">
      <c r="A2796" t="s">
        <v>422</v>
      </c>
      <c r="B2796" t="s">
        <v>602</v>
      </c>
      <c r="C2796" t="s">
        <v>8906</v>
      </c>
      <c r="D2796" t="s">
        <v>8907</v>
      </c>
      <c r="E2796" t="s">
        <v>542</v>
      </c>
      <c r="F2796" t="s">
        <v>12</v>
      </c>
      <c r="G2796" t="s">
        <v>12</v>
      </c>
      <c r="H2796">
        <f>30783*(1.01^10)</f>
        <v>34003.582886533113</v>
      </c>
      <c r="I2796">
        <f>155954*(1.01^10)</f>
        <v>172270.23894637902</v>
      </c>
      <c r="J2796" t="s">
        <v>8908</v>
      </c>
      <c r="K2796">
        <f t="shared" si="43"/>
        <v>819.01465353636934</v>
      </c>
    </row>
    <row r="2797" spans="1:11" x14ac:dyDescent="0.2">
      <c r="A2797" t="s">
        <v>422</v>
      </c>
      <c r="B2797" t="s">
        <v>602</v>
      </c>
      <c r="C2797" t="s">
        <v>8909</v>
      </c>
      <c r="D2797" t="s">
        <v>8910</v>
      </c>
      <c r="E2797" t="s">
        <v>1054</v>
      </c>
      <c r="F2797" t="s">
        <v>24</v>
      </c>
      <c r="G2797" t="s">
        <v>24</v>
      </c>
      <c r="H2797">
        <f>12374*(1.01^10)</f>
        <v>13668.594179838248</v>
      </c>
      <c r="I2797">
        <f>63910*(1.01^10)</f>
        <v>70596.400035030092</v>
      </c>
      <c r="J2797" t="s">
        <v>8911</v>
      </c>
      <c r="K2797">
        <f t="shared" si="43"/>
        <v>345.93046093900904</v>
      </c>
    </row>
    <row r="2798" spans="1:11" x14ac:dyDescent="0.2">
      <c r="A2798" t="s">
        <v>422</v>
      </c>
      <c r="B2798" t="s">
        <v>602</v>
      </c>
      <c r="C2798" t="s">
        <v>8912</v>
      </c>
      <c r="D2798" t="s">
        <v>8913</v>
      </c>
      <c r="E2798" t="s">
        <v>67</v>
      </c>
      <c r="F2798" t="s">
        <v>24</v>
      </c>
      <c r="G2798" t="s">
        <v>24</v>
      </c>
      <c r="H2798">
        <f>13574*(1.01^10)</f>
        <v>14994.140730331694</v>
      </c>
      <c r="I2798">
        <f>68450*(1.01^10)</f>
        <v>75611.384484396971</v>
      </c>
      <c r="J2798" t="s">
        <v>8914</v>
      </c>
      <c r="K2798">
        <f t="shared" si="43"/>
        <v>236.48222390561304</v>
      </c>
    </row>
    <row r="2799" spans="1:11" x14ac:dyDescent="0.2">
      <c r="A2799" t="s">
        <v>422</v>
      </c>
      <c r="B2799" t="s">
        <v>602</v>
      </c>
      <c r="C2799" t="s">
        <v>8915</v>
      </c>
      <c r="D2799" t="s">
        <v>8916</v>
      </c>
      <c r="E2799" t="s">
        <v>313</v>
      </c>
      <c r="F2799" t="s">
        <v>24</v>
      </c>
      <c r="G2799" t="s">
        <v>12</v>
      </c>
      <c r="H2799">
        <f>10910*(1.01^10)</f>
        <v>12051.427388236243</v>
      </c>
      <c r="I2799">
        <f>53792*(1.01^10)</f>
        <v>59419.833370119522</v>
      </c>
      <c r="J2799" t="s">
        <v>8917</v>
      </c>
      <c r="K2799">
        <f t="shared" si="43"/>
        <v>478.76891962113302</v>
      </c>
    </row>
    <row r="2800" spans="1:11" x14ac:dyDescent="0.2">
      <c r="A2800" t="s">
        <v>422</v>
      </c>
      <c r="B2800" t="s">
        <v>602</v>
      </c>
      <c r="C2800" t="s">
        <v>8918</v>
      </c>
      <c r="D2800" t="s">
        <v>8919</v>
      </c>
      <c r="E2800" t="s">
        <v>1101</v>
      </c>
      <c r="F2800" t="s">
        <v>5</v>
      </c>
      <c r="G2800" t="s">
        <v>17</v>
      </c>
      <c r="H2800">
        <f>20187*(1.01^10)</f>
        <v>22299.006845675991</v>
      </c>
      <c r="I2800">
        <f>99169*(1.01^10)</f>
        <v>109544.27155490377</v>
      </c>
      <c r="J2800" t="s">
        <v>8920</v>
      </c>
      <c r="K2800">
        <f t="shared" si="43"/>
        <v>351.01242844637926</v>
      </c>
    </row>
    <row r="2801" spans="1:11" x14ac:dyDescent="0.2">
      <c r="A2801" t="s">
        <v>422</v>
      </c>
      <c r="B2801" t="s">
        <v>602</v>
      </c>
      <c r="C2801" t="s">
        <v>8921</v>
      </c>
      <c r="D2801" t="s">
        <v>8922</v>
      </c>
      <c r="E2801" t="s">
        <v>51</v>
      </c>
      <c r="F2801" t="s">
        <v>24</v>
      </c>
      <c r="G2801" t="s">
        <v>24</v>
      </c>
      <c r="H2801">
        <f>11057*(1.01^10)</f>
        <v>12213.80684067169</v>
      </c>
      <c r="I2801">
        <f>55352*(1.01^10)</f>
        <v>61143.043885761006</v>
      </c>
      <c r="J2801" t="s">
        <v>8923</v>
      </c>
      <c r="K2801">
        <f t="shared" si="43"/>
        <v>207.9605378638299</v>
      </c>
    </row>
    <row r="2802" spans="1:11" x14ac:dyDescent="0.2">
      <c r="A2802" t="s">
        <v>422</v>
      </c>
      <c r="B2802" t="s">
        <v>602</v>
      </c>
      <c r="C2802" t="s">
        <v>8924</v>
      </c>
      <c r="D2802" t="s">
        <v>8925</v>
      </c>
      <c r="E2802" t="s">
        <v>337</v>
      </c>
      <c r="F2802" t="s">
        <v>24</v>
      </c>
      <c r="G2802" t="s">
        <v>24</v>
      </c>
      <c r="H2802">
        <f>14014*(1.01^10)</f>
        <v>15480.174465512624</v>
      </c>
      <c r="I2802">
        <f>72616*(1.01^10)</f>
        <v>80213.240258860038</v>
      </c>
      <c r="J2802" t="s">
        <v>8926</v>
      </c>
      <c r="K2802">
        <f t="shared" si="43"/>
        <v>281.93335029036632</v>
      </c>
    </row>
    <row r="2803" spans="1:11" x14ac:dyDescent="0.2">
      <c r="A2803" t="s">
        <v>422</v>
      </c>
      <c r="B2803" t="s">
        <v>1701</v>
      </c>
      <c r="C2803" t="s">
        <v>8927</v>
      </c>
      <c r="D2803" t="s">
        <v>8928</v>
      </c>
      <c r="E2803" t="s">
        <v>1223</v>
      </c>
      <c r="F2803" t="s">
        <v>12</v>
      </c>
      <c r="G2803" t="s">
        <v>24</v>
      </c>
      <c r="H2803">
        <f>13405*(1.01^10)</f>
        <v>14807.4595911372</v>
      </c>
      <c r="I2803">
        <f>64320*(1.01^10)</f>
        <v>71049.295106448684</v>
      </c>
      <c r="J2803" t="s">
        <v>8929</v>
      </c>
      <c r="K2803">
        <f t="shared" si="43"/>
        <v>186.51498316630307</v>
      </c>
    </row>
    <row r="2804" spans="1:11" x14ac:dyDescent="0.2">
      <c r="A2804" t="s">
        <v>422</v>
      </c>
      <c r="B2804" t="s">
        <v>1701</v>
      </c>
      <c r="C2804" t="s">
        <v>8930</v>
      </c>
      <c r="D2804" t="s">
        <v>8931</v>
      </c>
      <c r="E2804" t="s">
        <v>555</v>
      </c>
      <c r="F2804" t="s">
        <v>158</v>
      </c>
      <c r="G2804" t="s">
        <v>24</v>
      </c>
      <c r="H2804">
        <f>17664*(1.01^10)</f>
        <v>19512.045223263522</v>
      </c>
      <c r="I2804">
        <f>88642*(1.01^10)</f>
        <v>97915.914440700013</v>
      </c>
      <c r="J2804" t="s">
        <v>8932</v>
      </c>
      <c r="K2804">
        <f t="shared" si="43"/>
        <v>409.36201605468443</v>
      </c>
    </row>
    <row r="2805" spans="1:11" x14ac:dyDescent="0.2">
      <c r="A2805" t="s">
        <v>422</v>
      </c>
      <c r="B2805" t="s">
        <v>1701</v>
      </c>
      <c r="C2805" t="s">
        <v>8933</v>
      </c>
      <c r="D2805" t="s">
        <v>8934</v>
      </c>
      <c r="E2805" t="s">
        <v>40</v>
      </c>
      <c r="F2805" t="s">
        <v>24</v>
      </c>
      <c r="G2805" t="s">
        <v>17</v>
      </c>
      <c r="H2805">
        <f>32088*(1.01^10)</f>
        <v>35445.114760194738</v>
      </c>
      <c r="I2805">
        <f>157949*(1.01^10)</f>
        <v>174473.96008657437</v>
      </c>
      <c r="J2805" t="s">
        <v>8935</v>
      </c>
      <c r="K2805">
        <f t="shared" si="43"/>
        <v>469.56567779239123</v>
      </c>
    </row>
    <row r="2806" spans="1:11" x14ac:dyDescent="0.2">
      <c r="A2806" t="s">
        <v>422</v>
      </c>
      <c r="B2806" t="s">
        <v>1701</v>
      </c>
      <c r="C2806" t="s">
        <v>8936</v>
      </c>
      <c r="D2806" t="s">
        <v>8937</v>
      </c>
      <c r="E2806" t="s">
        <v>1617</v>
      </c>
      <c r="F2806" t="s">
        <v>11</v>
      </c>
      <c r="G2806" t="s">
        <v>24</v>
      </c>
      <c r="H2806">
        <f>18673*(1.01^10)</f>
        <v>20626.608947803426</v>
      </c>
      <c r="I2806">
        <f>83099*(1.01^10)</f>
        <v>91792.99399954571</v>
      </c>
      <c r="J2806" t="s">
        <v>8938</v>
      </c>
      <c r="K2806">
        <f t="shared" si="43"/>
        <v>343.51421553151135</v>
      </c>
    </row>
    <row r="2807" spans="1:11" x14ac:dyDescent="0.2">
      <c r="A2807" t="s">
        <v>422</v>
      </c>
      <c r="B2807" t="s">
        <v>1701</v>
      </c>
      <c r="C2807" t="s">
        <v>8939</v>
      </c>
      <c r="D2807" t="s">
        <v>8940</v>
      </c>
      <c r="E2807" t="s">
        <v>789</v>
      </c>
      <c r="F2807" t="s">
        <v>12</v>
      </c>
      <c r="G2807" t="s">
        <v>24</v>
      </c>
      <c r="H2807">
        <f>11784*(1.01^10)</f>
        <v>13016.867125845636</v>
      </c>
      <c r="I2807">
        <f>52976*(1.01^10)</f>
        <v>58518.461715783982</v>
      </c>
      <c r="J2807" t="s">
        <v>8941</v>
      </c>
      <c r="K2807">
        <f t="shared" si="43"/>
        <v>381.32065235996544</v>
      </c>
    </row>
    <row r="2808" spans="1:11" x14ac:dyDescent="0.2">
      <c r="A2808" t="s">
        <v>422</v>
      </c>
      <c r="B2808" t="s">
        <v>1701</v>
      </c>
      <c r="C2808" t="s">
        <v>8942</v>
      </c>
      <c r="D2808" t="s">
        <v>8943</v>
      </c>
      <c r="E2808" t="s">
        <v>425</v>
      </c>
      <c r="F2808" t="s">
        <v>11</v>
      </c>
      <c r="G2808" t="s">
        <v>24</v>
      </c>
      <c r="H2808">
        <f>16875*(1.01^10)</f>
        <v>18640.498366314081</v>
      </c>
      <c r="I2808">
        <f>78639*(1.01^10)</f>
        <v>86866.379320211723</v>
      </c>
      <c r="J2808" t="s">
        <v>8944</v>
      </c>
      <c r="K2808">
        <f t="shared" si="43"/>
        <v>379.83763822562753</v>
      </c>
    </row>
    <row r="2809" spans="1:11" x14ac:dyDescent="0.2">
      <c r="A2809" t="s">
        <v>422</v>
      </c>
      <c r="B2809" t="s">
        <v>1701</v>
      </c>
      <c r="C2809" t="s">
        <v>8945</v>
      </c>
      <c r="D2809" t="s">
        <v>8946</v>
      </c>
      <c r="E2809" t="s">
        <v>236</v>
      </c>
      <c r="F2809" t="s">
        <v>108</v>
      </c>
      <c r="G2809" t="s">
        <v>11</v>
      </c>
      <c r="H2809">
        <f>65423*(1.01^10)</f>
        <v>72267.693310777249</v>
      </c>
      <c r="I2809">
        <f>309072*(1.01^10)</f>
        <v>341407.7695450919</v>
      </c>
      <c r="J2809" t="s">
        <v>8947</v>
      </c>
      <c r="K2809">
        <f t="shared" si="43"/>
        <v>996.11578529606652</v>
      </c>
    </row>
    <row r="2810" spans="1:11" x14ac:dyDescent="0.2">
      <c r="A2810" t="s">
        <v>422</v>
      </c>
      <c r="B2810" t="s">
        <v>1701</v>
      </c>
      <c r="C2810" t="s">
        <v>8948</v>
      </c>
      <c r="D2810" t="s">
        <v>8949</v>
      </c>
      <c r="E2810" t="s">
        <v>3215</v>
      </c>
      <c r="F2810" t="s">
        <v>92</v>
      </c>
      <c r="G2810" t="s">
        <v>17</v>
      </c>
      <c r="H2810">
        <f>19147*(1.01^10)</f>
        <v>21150.199835248339</v>
      </c>
      <c r="I2810">
        <f>93759*(1.01^10)</f>
        <v>103568.26585642915</v>
      </c>
      <c r="J2810" t="s">
        <v>8950</v>
      </c>
      <c r="K2810">
        <f t="shared" si="43"/>
        <v>395.04102387703307</v>
      </c>
    </row>
    <row r="2811" spans="1:11" x14ac:dyDescent="0.2">
      <c r="A2811" t="s">
        <v>422</v>
      </c>
      <c r="B2811" t="s">
        <v>1701</v>
      </c>
      <c r="C2811" t="s">
        <v>8951</v>
      </c>
      <c r="D2811" t="s">
        <v>8952</v>
      </c>
      <c r="E2811" t="s">
        <v>5380</v>
      </c>
      <c r="F2811" t="s">
        <v>152</v>
      </c>
      <c r="G2811" t="s">
        <v>24</v>
      </c>
      <c r="H2811">
        <f>26173*(1.01^10)</f>
        <v>28911.274888387463</v>
      </c>
      <c r="I2811">
        <f>136600*(1.01^10)</f>
        <v>150891.38233117058</v>
      </c>
      <c r="J2811" t="s">
        <v>8953</v>
      </c>
      <c r="K2811">
        <f t="shared" si="43"/>
        <v>367.10240901695533</v>
      </c>
    </row>
    <row r="2812" spans="1:11" x14ac:dyDescent="0.2">
      <c r="A2812" t="s">
        <v>1340</v>
      </c>
      <c r="B2812" t="s">
        <v>2534</v>
      </c>
      <c r="C2812" t="s">
        <v>8954</v>
      </c>
      <c r="D2812" t="s">
        <v>8955</v>
      </c>
      <c r="E2812" t="s">
        <v>368</v>
      </c>
      <c r="F2812" t="s">
        <v>11</v>
      </c>
      <c r="G2812" t="s">
        <v>24</v>
      </c>
      <c r="H2812">
        <f>22369*(1.01^10)</f>
        <v>24709.29232332324</v>
      </c>
      <c r="I2812">
        <f>91916*(1.01^10)</f>
        <v>101532.44727929629</v>
      </c>
      <c r="J2812" t="s">
        <v>8956</v>
      </c>
      <c r="K2812">
        <f t="shared" si="43"/>
        <v>170.82490447096686</v>
      </c>
    </row>
    <row r="2813" spans="1:11" x14ac:dyDescent="0.2">
      <c r="A2813" t="s">
        <v>1340</v>
      </c>
      <c r="B2813" t="s">
        <v>2534</v>
      </c>
      <c r="C2813" t="s">
        <v>8957</v>
      </c>
      <c r="D2813" t="s">
        <v>8958</v>
      </c>
      <c r="E2813" t="s">
        <v>40</v>
      </c>
      <c r="F2813" t="s">
        <v>11</v>
      </c>
      <c r="G2813" t="s">
        <v>24</v>
      </c>
      <c r="H2813">
        <f>25578*(1.01^10)</f>
        <v>28254.024723767794</v>
      </c>
      <c r="I2813">
        <f>103676*(1.01^10)</f>
        <v>114522.80347413206</v>
      </c>
      <c r="J2813" t="s">
        <v>8959</v>
      </c>
      <c r="K2813">
        <f t="shared" si="43"/>
        <v>180.22944813616914</v>
      </c>
    </row>
    <row r="2814" spans="1:11" x14ac:dyDescent="0.2">
      <c r="A2814" t="s">
        <v>1340</v>
      </c>
      <c r="B2814" t="s">
        <v>2534</v>
      </c>
      <c r="C2814" t="s">
        <v>8960</v>
      </c>
      <c r="D2814" t="s">
        <v>8961</v>
      </c>
      <c r="E2814" t="s">
        <v>1362</v>
      </c>
      <c r="F2814" t="s">
        <v>11</v>
      </c>
      <c r="G2814" t="s">
        <v>12</v>
      </c>
      <c r="H2814">
        <f>19586*(1.01^10)</f>
        <v>21635.128948303856</v>
      </c>
      <c r="I2814">
        <f>81259*(1.01^10)</f>
        <v>89760.489288789089</v>
      </c>
      <c r="J2814" t="s">
        <v>8962</v>
      </c>
      <c r="K2814">
        <f t="shared" si="43"/>
        <v>291.91370455196949</v>
      </c>
    </row>
    <row r="2815" spans="1:11" x14ac:dyDescent="0.2">
      <c r="A2815" t="s">
        <v>1340</v>
      </c>
      <c r="B2815" t="s">
        <v>2534</v>
      </c>
      <c r="C2815" t="s">
        <v>8963</v>
      </c>
      <c r="D2815" t="s">
        <v>8964</v>
      </c>
      <c r="E2815" t="s">
        <v>126</v>
      </c>
      <c r="F2815" t="s">
        <v>5</v>
      </c>
      <c r="G2815" t="s">
        <v>24</v>
      </c>
      <c r="H2815">
        <f>8561*(1.01^10)</f>
        <v>9456.6700156453244</v>
      </c>
      <c r="I2815">
        <f>33259*(1.01^10)</f>
        <v>36738.627269051256</v>
      </c>
      <c r="J2815" t="s">
        <v>8965</v>
      </c>
      <c r="K2815">
        <f t="shared" si="43"/>
        <v>164.9908077139963</v>
      </c>
    </row>
    <row r="2816" spans="1:11" x14ac:dyDescent="0.2">
      <c r="A2816" t="s">
        <v>1340</v>
      </c>
      <c r="B2816" t="s">
        <v>2534</v>
      </c>
      <c r="C2816" t="s">
        <v>8966</v>
      </c>
      <c r="D2816" t="s">
        <v>8967</v>
      </c>
      <c r="E2816" t="s">
        <v>1101</v>
      </c>
      <c r="F2816" t="s">
        <v>12</v>
      </c>
      <c r="G2816" t="s">
        <v>24</v>
      </c>
      <c r="H2816">
        <f>20996*(1.01^10)</f>
        <v>23192.646145133654</v>
      </c>
      <c r="I2816">
        <f>77443*(1.01^10)</f>
        <v>85545.251258219927</v>
      </c>
      <c r="J2816" t="s">
        <v>8968</v>
      </c>
      <c r="K2816">
        <f t="shared" si="43"/>
        <v>265.91716703354706</v>
      </c>
    </row>
    <row r="2817" spans="1:11" x14ac:dyDescent="0.2">
      <c r="A2817" t="s">
        <v>1340</v>
      </c>
      <c r="B2817" t="s">
        <v>2534</v>
      </c>
      <c r="C2817" t="s">
        <v>8969</v>
      </c>
      <c r="D2817" t="s">
        <v>8970</v>
      </c>
      <c r="E2817" t="s">
        <v>1106</v>
      </c>
      <c r="F2817" t="s">
        <v>17</v>
      </c>
      <c r="G2817" t="s">
        <v>24</v>
      </c>
      <c r="H2817">
        <f>18224*(1.01^10)</f>
        <v>20130.633613493796</v>
      </c>
      <c r="I2817">
        <f>70239*(1.01^10)</f>
        <v>77587.553466757614</v>
      </c>
      <c r="J2817" t="s">
        <v>8971</v>
      </c>
      <c r="K2817">
        <f t="shared" si="43"/>
        <v>269.33795665451856</v>
      </c>
    </row>
    <row r="2818" spans="1:11" x14ac:dyDescent="0.2">
      <c r="A2818" t="s">
        <v>1340</v>
      </c>
      <c r="B2818" t="s">
        <v>2534</v>
      </c>
      <c r="C2818" t="s">
        <v>8972</v>
      </c>
      <c r="D2818" t="s">
        <v>8973</v>
      </c>
      <c r="E2818" t="s">
        <v>287</v>
      </c>
      <c r="F2818" t="s">
        <v>24</v>
      </c>
      <c r="G2818" t="s">
        <v>12</v>
      </c>
      <c r="H2818">
        <f>27666*(1.01^10)</f>
        <v>30560.47572162639</v>
      </c>
      <c r="I2818">
        <f>104566*(1.01^10)</f>
        <v>115505.91716574803</v>
      </c>
      <c r="J2818" t="s">
        <v>8974</v>
      </c>
      <c r="K2818">
        <f t="shared" si="43"/>
        <v>259.70326987282237</v>
      </c>
    </row>
    <row r="2819" spans="1:11" x14ac:dyDescent="0.2">
      <c r="A2819" t="s">
        <v>1340</v>
      </c>
      <c r="B2819" t="s">
        <v>2534</v>
      </c>
      <c r="C2819" t="s">
        <v>8975</v>
      </c>
      <c r="D2819" t="s">
        <v>8976</v>
      </c>
      <c r="E2819" t="s">
        <v>1944</v>
      </c>
      <c r="F2819" t="s">
        <v>12</v>
      </c>
      <c r="G2819" t="s">
        <v>12</v>
      </c>
      <c r="H2819">
        <f>28663*(1.01^10)</f>
        <v>31661.783980661363</v>
      </c>
      <c r="I2819">
        <f>107374*(1.01^10)</f>
        <v>118607.6960939027</v>
      </c>
      <c r="J2819" t="s">
        <v>8977</v>
      </c>
      <c r="K2819">
        <f t="shared" ref="K2819:K2882" si="44">I2819/J2819</f>
        <v>368.13426174363531</v>
      </c>
    </row>
    <row r="2820" spans="1:11" x14ac:dyDescent="0.2">
      <c r="A2820" t="s">
        <v>1340</v>
      </c>
      <c r="B2820" t="s">
        <v>2534</v>
      </c>
      <c r="C2820" t="s">
        <v>8978</v>
      </c>
      <c r="D2820" t="s">
        <v>8979</v>
      </c>
      <c r="E2820" t="s">
        <v>1106</v>
      </c>
      <c r="F2820" t="s">
        <v>12</v>
      </c>
      <c r="G2820" t="s">
        <v>12</v>
      </c>
      <c r="H2820">
        <f>33101*(1.01^10)</f>
        <v>36564.096973236286</v>
      </c>
      <c r="I2820">
        <f>128271*(1.01^10)</f>
        <v>141690.98464862065</v>
      </c>
      <c r="J2820" t="s">
        <v>8980</v>
      </c>
      <c r="K2820">
        <f t="shared" si="44"/>
        <v>495.75531721806198</v>
      </c>
    </row>
    <row r="2821" spans="1:11" x14ac:dyDescent="0.2">
      <c r="A2821" t="s">
        <v>1340</v>
      </c>
      <c r="B2821" t="s">
        <v>2534</v>
      </c>
      <c r="C2821" t="s">
        <v>8981</v>
      </c>
      <c r="D2821" t="s">
        <v>8982</v>
      </c>
      <c r="E2821" t="s">
        <v>611</v>
      </c>
      <c r="F2821" t="s">
        <v>12</v>
      </c>
      <c r="G2821" t="s">
        <v>24</v>
      </c>
      <c r="H2821">
        <f>31968*(1.01^10)</f>
        <v>35312.560105145392</v>
      </c>
      <c r="I2821">
        <f>127400*(1.01^10)</f>
        <v>140728.85877738748</v>
      </c>
      <c r="J2821" t="s">
        <v>8983</v>
      </c>
      <c r="K2821">
        <f t="shared" si="44"/>
        <v>379.70445518455102</v>
      </c>
    </row>
    <row r="2822" spans="1:11" x14ac:dyDescent="0.2">
      <c r="A2822" t="s">
        <v>1340</v>
      </c>
      <c r="B2822" t="s">
        <v>2534</v>
      </c>
      <c r="C2822" t="s">
        <v>8984</v>
      </c>
      <c r="D2822" t="s">
        <v>8985</v>
      </c>
      <c r="E2822" t="s">
        <v>422</v>
      </c>
      <c r="F2822" t="s">
        <v>24</v>
      </c>
      <c r="G2822" t="s">
        <v>11</v>
      </c>
      <c r="H2822">
        <f>38108*(1.01^10)</f>
        <v>42094.939955170194</v>
      </c>
      <c r="I2822">
        <f>164131*(1.01^10)</f>
        <v>181302.73406586645</v>
      </c>
      <c r="J2822" t="s">
        <v>8986</v>
      </c>
      <c r="K2822">
        <f t="shared" si="44"/>
        <v>1032.673729622901</v>
      </c>
    </row>
    <row r="2823" spans="1:11" x14ac:dyDescent="0.2">
      <c r="A2823" t="s">
        <v>1340</v>
      </c>
      <c r="B2823" t="s">
        <v>2534</v>
      </c>
      <c r="C2823" t="s">
        <v>8987</v>
      </c>
      <c r="D2823" t="s">
        <v>8988</v>
      </c>
      <c r="E2823" t="s">
        <v>829</v>
      </c>
      <c r="F2823" t="s">
        <v>24</v>
      </c>
      <c r="G2823" t="s">
        <v>24</v>
      </c>
      <c r="H2823">
        <f>19712*(1.01^10)</f>
        <v>21774.311336105668</v>
      </c>
      <c r="I2823">
        <f>78389*(1.01^10)</f>
        <v>86590.22378885893</v>
      </c>
      <c r="J2823" t="s">
        <v>8989</v>
      </c>
      <c r="K2823">
        <f t="shared" si="44"/>
        <v>417.30662372490542</v>
      </c>
    </row>
    <row r="2824" spans="1:11" x14ac:dyDescent="0.2">
      <c r="A2824" t="s">
        <v>1340</v>
      </c>
      <c r="B2824" t="s">
        <v>2534</v>
      </c>
      <c r="C2824" t="s">
        <v>8990</v>
      </c>
      <c r="D2824" t="s">
        <v>8991</v>
      </c>
      <c r="E2824" t="s">
        <v>1101</v>
      </c>
      <c r="F2824" t="s">
        <v>24</v>
      </c>
      <c r="G2824" t="s">
        <v>12</v>
      </c>
      <c r="H2824">
        <f>21986*(1.01^10)</f>
        <v>24286.222049290747</v>
      </c>
      <c r="I2824">
        <f>90321*(1.01^10)</f>
        <v>99770.574989265428</v>
      </c>
      <c r="J2824" t="s">
        <v>8992</v>
      </c>
      <c r="K2824">
        <f t="shared" si="44"/>
        <v>233.8151742075207</v>
      </c>
    </row>
    <row r="2825" spans="1:11" x14ac:dyDescent="0.2">
      <c r="A2825" t="s">
        <v>1340</v>
      </c>
      <c r="B2825" t="s">
        <v>2534</v>
      </c>
      <c r="C2825" t="s">
        <v>8993</v>
      </c>
      <c r="D2825" t="s">
        <v>8994</v>
      </c>
      <c r="E2825" t="s">
        <v>40</v>
      </c>
      <c r="F2825" t="s">
        <v>92</v>
      </c>
      <c r="G2825" t="s">
        <v>24</v>
      </c>
      <c r="H2825">
        <f>15310*(1.01^10)</f>
        <v>16911.764740045546</v>
      </c>
      <c r="I2825">
        <f>65715*(1.01^10)</f>
        <v>72590.242971397325</v>
      </c>
      <c r="J2825" t="s">
        <v>8995</v>
      </c>
      <c r="K2825">
        <f t="shared" si="44"/>
        <v>120.01489473408468</v>
      </c>
    </row>
    <row r="2826" spans="1:11" x14ac:dyDescent="0.2">
      <c r="A2826" t="s">
        <v>1340</v>
      </c>
      <c r="B2826" t="s">
        <v>2534</v>
      </c>
      <c r="C2826" t="s">
        <v>8996</v>
      </c>
      <c r="D2826" t="s">
        <v>8997</v>
      </c>
      <c r="E2826" t="s">
        <v>394</v>
      </c>
      <c r="F2826" t="s">
        <v>11</v>
      </c>
      <c r="G2826" t="s">
        <v>24</v>
      </c>
      <c r="H2826">
        <f>38480*(1.01^10)</f>
        <v>42505.859385823162</v>
      </c>
      <c r="I2826">
        <f>157296*(1.01^10)</f>
        <v>173752.64183868087</v>
      </c>
      <c r="J2826" t="s">
        <v>8998</v>
      </c>
      <c r="K2826">
        <f t="shared" si="44"/>
        <v>276.11254593883905</v>
      </c>
    </row>
    <row r="2827" spans="1:11" x14ac:dyDescent="0.2">
      <c r="A2827" t="s">
        <v>1340</v>
      </c>
      <c r="B2827" t="s">
        <v>8999</v>
      </c>
      <c r="C2827" t="s">
        <v>9000</v>
      </c>
      <c r="D2827" t="s">
        <v>9001</v>
      </c>
      <c r="E2827" t="s">
        <v>1054</v>
      </c>
      <c r="F2827" t="s">
        <v>12</v>
      </c>
      <c r="G2827" t="s">
        <v>24</v>
      </c>
      <c r="H2827">
        <f>13923*(1.01^10)</f>
        <v>15379.653852100204</v>
      </c>
      <c r="I2827">
        <f>60136*(1.01^10)</f>
        <v>66427.556133728212</v>
      </c>
      <c r="J2827" t="s">
        <v>9002</v>
      </c>
      <c r="K2827">
        <f t="shared" si="44"/>
        <v>214.26393169476486</v>
      </c>
    </row>
    <row r="2828" spans="1:11" x14ac:dyDescent="0.2">
      <c r="A2828" t="s">
        <v>1340</v>
      </c>
      <c r="B2828" t="s">
        <v>8999</v>
      </c>
      <c r="C2828" t="s">
        <v>9003</v>
      </c>
      <c r="D2828" t="s">
        <v>9004</v>
      </c>
      <c r="E2828" t="s">
        <v>97</v>
      </c>
      <c r="F2828" t="s">
        <v>12</v>
      </c>
      <c r="G2828" t="s">
        <v>24</v>
      </c>
      <c r="H2828">
        <f>7808*(1.01^10)</f>
        <v>8624.889555210686</v>
      </c>
      <c r="I2828">
        <f>34228*(1.01^10)</f>
        <v>37809.006108574715</v>
      </c>
      <c r="J2828" t="s">
        <v>9005</v>
      </c>
      <c r="K2828">
        <f t="shared" si="44"/>
        <v>102.70718952153827</v>
      </c>
    </row>
    <row r="2829" spans="1:11" x14ac:dyDescent="0.2">
      <c r="A2829" t="s">
        <v>1340</v>
      </c>
      <c r="B2829" t="s">
        <v>8999</v>
      </c>
      <c r="C2829" t="s">
        <v>9006</v>
      </c>
      <c r="D2829" t="s">
        <v>9007</v>
      </c>
      <c r="E2829" t="s">
        <v>5</v>
      </c>
      <c r="F2829" t="s">
        <v>24</v>
      </c>
      <c r="G2829" t="s">
        <v>12</v>
      </c>
      <c r="H2829">
        <f>9675*(1.01^10)</f>
        <v>10687.219063353406</v>
      </c>
      <c r="I2829">
        <f>42637*(1.01^10)</f>
        <v>47097.773561157534</v>
      </c>
      <c r="J2829" t="s">
        <v>9008</v>
      </c>
      <c r="K2829">
        <f t="shared" si="44"/>
        <v>835.49220041548995</v>
      </c>
    </row>
    <row r="2830" spans="1:11" x14ac:dyDescent="0.2">
      <c r="A2830" t="s">
        <v>1340</v>
      </c>
      <c r="B2830" t="s">
        <v>8999</v>
      </c>
      <c r="C2830" t="s">
        <v>9009</v>
      </c>
      <c r="D2830" t="s">
        <v>9010</v>
      </c>
      <c r="E2830" t="s">
        <v>1656</v>
      </c>
      <c r="F2830" t="s">
        <v>24</v>
      </c>
      <c r="G2830" t="s">
        <v>12</v>
      </c>
      <c r="H2830">
        <f>10666*(1.01^10)</f>
        <v>11781.89958963591</v>
      </c>
      <c r="I2830">
        <f>44039*(1.01^10)</f>
        <v>48646.453780984048</v>
      </c>
      <c r="J2830" t="s">
        <v>9011</v>
      </c>
      <c r="K2830">
        <f t="shared" si="44"/>
        <v>220.65901287496399</v>
      </c>
    </row>
    <row r="2831" spans="1:11" x14ac:dyDescent="0.2">
      <c r="A2831" t="s">
        <v>1340</v>
      </c>
      <c r="B2831" t="s">
        <v>8999</v>
      </c>
      <c r="C2831" t="s">
        <v>9012</v>
      </c>
      <c r="D2831" t="s">
        <v>9013</v>
      </c>
      <c r="E2831" t="s">
        <v>12</v>
      </c>
      <c r="F2831" t="s">
        <v>24</v>
      </c>
      <c r="G2831" t="s">
        <v>12</v>
      </c>
      <c r="H2831">
        <f>17697*(1.01^10)</f>
        <v>19548.497753402091</v>
      </c>
      <c r="I2831">
        <f>80706*(1.01^10)</f>
        <v>89149.633253436696</v>
      </c>
      <c r="J2831" t="s">
        <v>9014</v>
      </c>
      <c r="K2831">
        <f t="shared" si="44"/>
        <v>1888.8001522464078</v>
      </c>
    </row>
    <row r="2832" spans="1:11" x14ac:dyDescent="0.2">
      <c r="A2832" t="s">
        <v>1340</v>
      </c>
      <c r="B2832" t="s">
        <v>8999</v>
      </c>
      <c r="C2832" t="s">
        <v>9015</v>
      </c>
      <c r="D2832" t="s">
        <v>9016</v>
      </c>
      <c r="E2832" t="s">
        <v>103</v>
      </c>
      <c r="F2832" t="s">
        <v>24</v>
      </c>
      <c r="G2832" t="s">
        <v>12</v>
      </c>
      <c r="H2832">
        <f>6333*(1.01^10)</f>
        <v>6995.5719202291593</v>
      </c>
      <c r="I2832">
        <f>26484*(1.01^10)</f>
        <v>29254.812369390347</v>
      </c>
      <c r="J2832" t="s">
        <v>9017</v>
      </c>
      <c r="K2832">
        <f t="shared" si="44"/>
        <v>255.7985365594846</v>
      </c>
    </row>
    <row r="2833" spans="1:11" x14ac:dyDescent="0.2">
      <c r="A2833" t="s">
        <v>1340</v>
      </c>
      <c r="B2833" t="s">
        <v>8999</v>
      </c>
      <c r="C2833" t="s">
        <v>9018</v>
      </c>
      <c r="D2833" t="s">
        <v>9019</v>
      </c>
      <c r="E2833" t="s">
        <v>44</v>
      </c>
      <c r="F2833" t="s">
        <v>24</v>
      </c>
      <c r="G2833" t="s">
        <v>12</v>
      </c>
      <c r="H2833">
        <f>28003*(1.01^10)</f>
        <v>30932.733377889967</v>
      </c>
      <c r="I2833">
        <f>122817*(1.01^10)</f>
        <v>135666.37557662794</v>
      </c>
      <c r="J2833" t="s">
        <v>9020</v>
      </c>
      <c r="K2833">
        <f t="shared" si="44"/>
        <v>951.93445250800778</v>
      </c>
    </row>
    <row r="2834" spans="1:11" x14ac:dyDescent="0.2">
      <c r="A2834" t="s">
        <v>1340</v>
      </c>
      <c r="B2834" t="s">
        <v>8999</v>
      </c>
      <c r="C2834" t="s">
        <v>9021</v>
      </c>
      <c r="D2834" t="s">
        <v>9022</v>
      </c>
      <c r="E2834" t="s">
        <v>61</v>
      </c>
      <c r="F2834" t="s">
        <v>24</v>
      </c>
      <c r="G2834" t="s">
        <v>24</v>
      </c>
      <c r="H2834">
        <f>6626*(1.01^10)</f>
        <v>7319.2262029746425</v>
      </c>
      <c r="I2834">
        <f>27566*(1.01^10)</f>
        <v>30450.013509085271</v>
      </c>
      <c r="J2834" t="s">
        <v>9023</v>
      </c>
      <c r="K2834">
        <f t="shared" si="44"/>
        <v>360.91909442500162</v>
      </c>
    </row>
    <row r="2835" spans="1:11" x14ac:dyDescent="0.2">
      <c r="A2835" t="s">
        <v>1340</v>
      </c>
      <c r="B2835" t="s">
        <v>8999</v>
      </c>
      <c r="C2835" t="s">
        <v>9024</v>
      </c>
      <c r="D2835" t="s">
        <v>9025</v>
      </c>
      <c r="E2835" t="s">
        <v>1060</v>
      </c>
      <c r="F2835" t="s">
        <v>12</v>
      </c>
      <c r="G2835" t="s">
        <v>24</v>
      </c>
      <c r="H2835">
        <f>24788*(1.01^10)</f>
        <v>27381.373244692943</v>
      </c>
      <c r="I2835">
        <f>99157*(1.01^10)</f>
        <v>109531.01608939884</v>
      </c>
      <c r="J2835" t="s">
        <v>9026</v>
      </c>
      <c r="K2835">
        <f t="shared" si="44"/>
        <v>171.9099939073183</v>
      </c>
    </row>
    <row r="2836" spans="1:11" x14ac:dyDescent="0.2">
      <c r="A2836" t="s">
        <v>1340</v>
      </c>
      <c r="B2836" t="s">
        <v>8999</v>
      </c>
      <c r="C2836" t="s">
        <v>9027</v>
      </c>
      <c r="D2836" t="s">
        <v>9028</v>
      </c>
      <c r="E2836" t="s">
        <v>185</v>
      </c>
      <c r="F2836" t="s">
        <v>12</v>
      </c>
      <c r="G2836" t="s">
        <v>24</v>
      </c>
      <c r="H2836">
        <f>10542*(1.01^10)</f>
        <v>11644.926446084921</v>
      </c>
      <c r="I2836">
        <f>41735*(1.01^10)</f>
        <v>46101.404404036628</v>
      </c>
      <c r="J2836" t="s">
        <v>9029</v>
      </c>
      <c r="K2836">
        <f t="shared" si="44"/>
        <v>345.52036157152554</v>
      </c>
    </row>
    <row r="2837" spans="1:11" x14ac:dyDescent="0.2">
      <c r="A2837" t="s">
        <v>1340</v>
      </c>
      <c r="B2837" t="s">
        <v>973</v>
      </c>
      <c r="C2837" t="s">
        <v>9030</v>
      </c>
      <c r="D2837" t="s">
        <v>9031</v>
      </c>
      <c r="E2837" t="s">
        <v>232</v>
      </c>
      <c r="F2837" t="s">
        <v>24</v>
      </c>
      <c r="G2837" t="s">
        <v>24</v>
      </c>
      <c r="H2837">
        <f>13890*(1.01^10)</f>
        <v>15343.201321961635</v>
      </c>
      <c r="I2837">
        <f>59141*(1.01^10)</f>
        <v>65328.457118944061</v>
      </c>
      <c r="J2837" t="s">
        <v>9032</v>
      </c>
      <c r="K2837">
        <f t="shared" si="44"/>
        <v>185.77049411171924</v>
      </c>
    </row>
    <row r="2838" spans="1:11" x14ac:dyDescent="0.2">
      <c r="A2838" t="s">
        <v>1340</v>
      </c>
      <c r="B2838" t="s">
        <v>973</v>
      </c>
      <c r="C2838" t="s">
        <v>9033</v>
      </c>
      <c r="D2838" t="s">
        <v>9034</v>
      </c>
      <c r="E2838" t="s">
        <v>320</v>
      </c>
      <c r="F2838" t="s">
        <v>24</v>
      </c>
      <c r="G2838" t="s">
        <v>24</v>
      </c>
      <c r="H2838">
        <f>19295*(1.01^10)</f>
        <v>21313.683909809195</v>
      </c>
      <c r="I2838">
        <f>76632*(1.01^10)</f>
        <v>84649.402714511438</v>
      </c>
      <c r="J2838" t="s">
        <v>9035</v>
      </c>
      <c r="K2838">
        <f t="shared" si="44"/>
        <v>135.61300252100622</v>
      </c>
    </row>
    <row r="2839" spans="1:11" x14ac:dyDescent="0.2">
      <c r="A2839" t="s">
        <v>1340</v>
      </c>
      <c r="B2839" t="s">
        <v>973</v>
      </c>
      <c r="C2839" t="s">
        <v>9036</v>
      </c>
      <c r="D2839" t="s">
        <v>9037</v>
      </c>
      <c r="E2839" t="s">
        <v>2162</v>
      </c>
      <c r="F2839" t="s">
        <v>152</v>
      </c>
      <c r="G2839" t="s">
        <v>12</v>
      </c>
      <c r="H2839">
        <f>21517*(1.01^10)</f>
        <v>23768.154272472893</v>
      </c>
      <c r="I2839">
        <f>81668*(1.01^10)</f>
        <v>90212.279738082274</v>
      </c>
      <c r="J2839" t="s">
        <v>9038</v>
      </c>
      <c r="K2839">
        <f t="shared" si="44"/>
        <v>174.19276275153737</v>
      </c>
    </row>
    <row r="2840" spans="1:11" x14ac:dyDescent="0.2">
      <c r="A2840" t="s">
        <v>1340</v>
      </c>
      <c r="B2840" t="s">
        <v>973</v>
      </c>
      <c r="C2840" t="s">
        <v>9039</v>
      </c>
      <c r="D2840" t="s">
        <v>9040</v>
      </c>
      <c r="E2840" t="s">
        <v>374</v>
      </c>
      <c r="F2840" t="s">
        <v>24</v>
      </c>
      <c r="G2840" t="s">
        <v>24</v>
      </c>
      <c r="H2840">
        <f>7716*(1.01^10)</f>
        <v>8523.264319672855</v>
      </c>
      <c r="I2840">
        <f>29875*(1.01^10)</f>
        <v>33000.585996659742</v>
      </c>
      <c r="J2840" t="s">
        <v>9041</v>
      </c>
      <c r="K2840">
        <f t="shared" si="44"/>
        <v>177.80092029114417</v>
      </c>
    </row>
    <row r="2841" spans="1:11" x14ac:dyDescent="0.2">
      <c r="A2841" t="s">
        <v>1340</v>
      </c>
      <c r="B2841" t="s">
        <v>973</v>
      </c>
      <c r="C2841" t="s">
        <v>9042</v>
      </c>
      <c r="D2841" t="s">
        <v>9043</v>
      </c>
      <c r="E2841" t="s">
        <v>318</v>
      </c>
      <c r="F2841" t="s">
        <v>24</v>
      </c>
      <c r="G2841" t="s">
        <v>24</v>
      </c>
      <c r="H2841">
        <f>6779*(1.01^10)</f>
        <v>7488.2333881625573</v>
      </c>
      <c r="I2841">
        <f>26915*(1.01^10)</f>
        <v>29730.904505442577</v>
      </c>
      <c r="J2841" t="s">
        <v>9044</v>
      </c>
      <c r="K2841">
        <f t="shared" si="44"/>
        <v>222.17159757075891</v>
      </c>
    </row>
    <row r="2842" spans="1:11" x14ac:dyDescent="0.2">
      <c r="A2842" t="s">
        <v>1340</v>
      </c>
      <c r="B2842" t="s">
        <v>973</v>
      </c>
      <c r="C2842" t="s">
        <v>9045</v>
      </c>
      <c r="D2842" t="s">
        <v>9046</v>
      </c>
      <c r="E2842" t="s">
        <v>274</v>
      </c>
      <c r="F2842" t="s">
        <v>24</v>
      </c>
      <c r="G2842" t="s">
        <v>12</v>
      </c>
      <c r="H2842">
        <f>6456*(1.01^10)</f>
        <v>7131.4404416547377</v>
      </c>
      <c r="I2842">
        <f>26859*(1.01^10)</f>
        <v>29669.045666419548</v>
      </c>
      <c r="J2842" t="s">
        <v>9047</v>
      </c>
      <c r="K2842">
        <f t="shared" si="44"/>
        <v>209.97043649798508</v>
      </c>
    </row>
    <row r="2843" spans="1:11" x14ac:dyDescent="0.2">
      <c r="A2843" t="s">
        <v>1340</v>
      </c>
      <c r="B2843" t="s">
        <v>973</v>
      </c>
      <c r="C2843" t="s">
        <v>9048</v>
      </c>
      <c r="D2843" t="s">
        <v>9049</v>
      </c>
      <c r="E2843" t="s">
        <v>264</v>
      </c>
      <c r="F2843" t="s">
        <v>17</v>
      </c>
      <c r="G2843" t="s">
        <v>24</v>
      </c>
      <c r="H2843">
        <f>15386*(1.01^10)</f>
        <v>16995.716021576794</v>
      </c>
      <c r="I2843">
        <f>63790*(1.01^10)</f>
        <v>70463.845379980747</v>
      </c>
      <c r="J2843" t="s">
        <v>9050</v>
      </c>
      <c r="K2843">
        <f t="shared" si="44"/>
        <v>257.28427612938663</v>
      </c>
    </row>
    <row r="2844" spans="1:11" x14ac:dyDescent="0.2">
      <c r="A2844" t="s">
        <v>1340</v>
      </c>
      <c r="B2844" t="s">
        <v>973</v>
      </c>
      <c r="C2844" t="s">
        <v>9051</v>
      </c>
      <c r="D2844" t="s">
        <v>9052</v>
      </c>
      <c r="E2844" t="s">
        <v>11</v>
      </c>
      <c r="F2844" t="s">
        <v>11</v>
      </c>
      <c r="G2844" t="s">
        <v>12</v>
      </c>
      <c r="H2844">
        <f>8626*(1.01^10)</f>
        <v>9528.470453797052</v>
      </c>
      <c r="I2844">
        <f>37887*(1.01^10)</f>
        <v>41850.818465454315</v>
      </c>
      <c r="J2844" t="s">
        <v>9053</v>
      </c>
      <c r="K2844">
        <f t="shared" si="44"/>
        <v>334.25041919720519</v>
      </c>
    </row>
    <row r="2845" spans="1:11" x14ac:dyDescent="0.2">
      <c r="A2845" t="s">
        <v>1340</v>
      </c>
      <c r="B2845" t="s">
        <v>973</v>
      </c>
      <c r="C2845" t="s">
        <v>9054</v>
      </c>
      <c r="D2845" t="s">
        <v>9055</v>
      </c>
      <c r="E2845" t="s">
        <v>520</v>
      </c>
      <c r="F2845" t="s">
        <v>17</v>
      </c>
      <c r="G2845" t="s">
        <v>12</v>
      </c>
      <c r="H2845">
        <f>19612*(1.01^10)</f>
        <v>21663.849123564549</v>
      </c>
      <c r="I2845">
        <f>85814*(1.01^10)</f>
        <v>94792.043070037122</v>
      </c>
      <c r="J2845" t="s">
        <v>9056</v>
      </c>
      <c r="K2845">
        <f t="shared" si="44"/>
        <v>451.10944939639506</v>
      </c>
    </row>
    <row r="2846" spans="1:11" x14ac:dyDescent="0.2">
      <c r="A2846" t="s">
        <v>1340</v>
      </c>
      <c r="B2846" t="s">
        <v>973</v>
      </c>
      <c r="C2846" t="s">
        <v>9057</v>
      </c>
      <c r="D2846" t="s">
        <v>9058</v>
      </c>
      <c r="E2846" t="s">
        <v>5</v>
      </c>
      <c r="F2846" t="s">
        <v>24</v>
      </c>
      <c r="G2846" t="s">
        <v>24</v>
      </c>
      <c r="H2846">
        <f>1857*(1.01^10)</f>
        <v>2051.2832868886071</v>
      </c>
      <c r="I2846">
        <f>7727*(1.01^10)</f>
        <v>8535.4151630523793</v>
      </c>
      <c r="J2846" t="s">
        <v>9059</v>
      </c>
      <c r="K2846">
        <f t="shared" si="44"/>
        <v>681.47119428442079</v>
      </c>
    </row>
    <row r="2847" spans="1:11" x14ac:dyDescent="0.2">
      <c r="A2847" t="s">
        <v>1340</v>
      </c>
      <c r="B2847" t="s">
        <v>973</v>
      </c>
      <c r="C2847" t="s">
        <v>9060</v>
      </c>
      <c r="D2847" t="s">
        <v>9061</v>
      </c>
      <c r="E2847" t="s">
        <v>152</v>
      </c>
      <c r="F2847" t="s">
        <v>24</v>
      </c>
      <c r="G2847" t="s">
        <v>24</v>
      </c>
      <c r="H2847">
        <f>2927*(1.01^10)</f>
        <v>3233.2289610785965</v>
      </c>
      <c r="I2847">
        <f>12627*(1.01^10)</f>
        <v>13948.063577567282</v>
      </c>
      <c r="J2847" t="s">
        <v>9062</v>
      </c>
      <c r="K2847">
        <f t="shared" si="44"/>
        <v>594.2944137878377</v>
      </c>
    </row>
    <row r="2848" spans="1:11" x14ac:dyDescent="0.2">
      <c r="A2848" t="s">
        <v>1340</v>
      </c>
      <c r="B2848" t="s">
        <v>973</v>
      </c>
      <c r="C2848" t="s">
        <v>9063</v>
      </c>
      <c r="D2848" t="s">
        <v>9064</v>
      </c>
      <c r="E2848" t="s">
        <v>176</v>
      </c>
      <c r="F2848" t="s">
        <v>24</v>
      </c>
      <c r="G2848" t="s">
        <v>24</v>
      </c>
      <c r="H2848">
        <f>11404*(1.01^10)</f>
        <v>12597.110718189379</v>
      </c>
      <c r="I2848">
        <f>46660*(1.01^10)</f>
        <v>51541.668371686814</v>
      </c>
      <c r="J2848" t="s">
        <v>9065</v>
      </c>
      <c r="K2848">
        <f t="shared" si="44"/>
        <v>415.89339442981367</v>
      </c>
    </row>
    <row r="2849" spans="1:11" x14ac:dyDescent="0.2">
      <c r="A2849" t="s">
        <v>1340</v>
      </c>
      <c r="B2849" t="s">
        <v>973</v>
      </c>
      <c r="C2849" t="s">
        <v>9066</v>
      </c>
      <c r="D2849" t="s">
        <v>9067</v>
      </c>
      <c r="E2849" t="s">
        <v>1446</v>
      </c>
      <c r="F2849" t="s">
        <v>6</v>
      </c>
      <c r="G2849" t="s">
        <v>24</v>
      </c>
      <c r="H2849">
        <f>14649*(1.01^10)</f>
        <v>16181.609515148739</v>
      </c>
      <c r="I2849">
        <f>59250*(1.01^10)</f>
        <v>65448.860930613882</v>
      </c>
      <c r="J2849" t="s">
        <v>9068</v>
      </c>
      <c r="K2849">
        <f t="shared" si="44"/>
        <v>95.596540378514675</v>
      </c>
    </row>
    <row r="2850" spans="1:11" x14ac:dyDescent="0.2">
      <c r="A2850" t="s">
        <v>1340</v>
      </c>
      <c r="B2850" t="s">
        <v>973</v>
      </c>
      <c r="C2850" t="s">
        <v>9069</v>
      </c>
      <c r="D2850" t="s">
        <v>9070</v>
      </c>
      <c r="E2850" t="s">
        <v>1106</v>
      </c>
      <c r="F2850" t="s">
        <v>411</v>
      </c>
      <c r="G2850" t="s">
        <v>24</v>
      </c>
      <c r="H2850">
        <f>4713*(1.01^10)</f>
        <v>5206.0840770630084</v>
      </c>
      <c r="I2850">
        <f>20460*(1.01^10)</f>
        <v>22600.568685913247</v>
      </c>
      <c r="J2850" t="s">
        <v>9071</v>
      </c>
      <c r="K2850">
        <f t="shared" si="44"/>
        <v>43.709674343345839</v>
      </c>
    </row>
    <row r="2851" spans="1:11" x14ac:dyDescent="0.2">
      <c r="A2851" t="s">
        <v>1340</v>
      </c>
      <c r="B2851" t="s">
        <v>973</v>
      </c>
      <c r="C2851" t="s">
        <v>9072</v>
      </c>
      <c r="D2851" t="s">
        <v>9073</v>
      </c>
      <c r="E2851" t="s">
        <v>1387</v>
      </c>
      <c r="F2851" t="s">
        <v>92</v>
      </c>
      <c r="G2851" t="s">
        <v>24</v>
      </c>
      <c r="H2851">
        <f>13483*(1.01^10)</f>
        <v>14893.620116919274</v>
      </c>
      <c r="I2851">
        <f>57271*(1.01^10)</f>
        <v>63262.813744425104</v>
      </c>
      <c r="J2851" t="s">
        <v>9074</v>
      </c>
      <c r="K2851">
        <f t="shared" si="44"/>
        <v>103.62968893610798</v>
      </c>
    </row>
    <row r="2852" spans="1:11" x14ac:dyDescent="0.2">
      <c r="A2852" t="s">
        <v>1340</v>
      </c>
      <c r="B2852" t="s">
        <v>973</v>
      </c>
      <c r="C2852" t="s">
        <v>9075</v>
      </c>
      <c r="D2852" t="s">
        <v>9076</v>
      </c>
      <c r="E2852" t="s">
        <v>998</v>
      </c>
      <c r="F2852" t="s">
        <v>17</v>
      </c>
      <c r="G2852" t="s">
        <v>24</v>
      </c>
      <c r="H2852">
        <f>11373*(1.01^10)</f>
        <v>12562.867432301631</v>
      </c>
      <c r="I2852">
        <f>44579*(1.01^10)</f>
        <v>49242.949728706095</v>
      </c>
      <c r="J2852" t="s">
        <v>9077</v>
      </c>
      <c r="K2852">
        <f t="shared" si="44"/>
        <v>174.63630125863094</v>
      </c>
    </row>
    <row r="2853" spans="1:11" x14ac:dyDescent="0.2">
      <c r="A2853" t="s">
        <v>1340</v>
      </c>
      <c r="B2853" t="s">
        <v>973</v>
      </c>
      <c r="C2853" t="s">
        <v>9078</v>
      </c>
      <c r="D2853" t="s">
        <v>9079</v>
      </c>
      <c r="E2853" t="s">
        <v>148</v>
      </c>
      <c r="F2853" t="s">
        <v>158</v>
      </c>
      <c r="G2853" t="s">
        <v>24</v>
      </c>
      <c r="H2853">
        <f>7268*(1.01^10)</f>
        <v>8028.393607488636</v>
      </c>
      <c r="I2853">
        <f>29526*(1.01^10)</f>
        <v>32615.07287489123</v>
      </c>
      <c r="J2853" t="s">
        <v>9080</v>
      </c>
      <c r="K2853">
        <f t="shared" si="44"/>
        <v>64.752469490188176</v>
      </c>
    </row>
    <row r="2854" spans="1:11" x14ac:dyDescent="0.2">
      <c r="A2854" t="s">
        <v>1340</v>
      </c>
      <c r="B2854" t="s">
        <v>973</v>
      </c>
      <c r="C2854" t="s">
        <v>9081</v>
      </c>
      <c r="D2854" t="s">
        <v>9082</v>
      </c>
      <c r="E2854" t="s">
        <v>479</v>
      </c>
      <c r="F2854" t="s">
        <v>422</v>
      </c>
      <c r="G2854" t="s">
        <v>12</v>
      </c>
      <c r="H2854">
        <f>12920*(1.01^10)</f>
        <v>14271.717860312765</v>
      </c>
      <c r="I2854">
        <f>55502*(1.01^10)</f>
        <v>61308.737204572688</v>
      </c>
      <c r="J2854" t="s">
        <v>9083</v>
      </c>
      <c r="K2854">
        <f t="shared" si="44"/>
        <v>78.686249380138193</v>
      </c>
    </row>
    <row r="2855" spans="1:11" x14ac:dyDescent="0.2">
      <c r="A2855" t="s">
        <v>1340</v>
      </c>
      <c r="B2855" t="s">
        <v>973</v>
      </c>
      <c r="C2855" t="s">
        <v>9084</v>
      </c>
      <c r="D2855" t="s">
        <v>9085</v>
      </c>
      <c r="E2855" t="s">
        <v>998</v>
      </c>
      <c r="F2855" t="s">
        <v>382</v>
      </c>
      <c r="G2855" t="s">
        <v>24</v>
      </c>
      <c r="H2855">
        <f>6935*(1.01^10)</f>
        <v>7660.5544397267049</v>
      </c>
      <c r="I2855">
        <f>29550*(1.01^10)</f>
        <v>32641.5838059011</v>
      </c>
      <c r="J2855" t="s">
        <v>9086</v>
      </c>
      <c r="K2855">
        <f t="shared" si="44"/>
        <v>68.9138499743908</v>
      </c>
    </row>
    <row r="2856" spans="1:11" x14ac:dyDescent="0.2">
      <c r="A2856" t="s">
        <v>1340</v>
      </c>
      <c r="B2856" t="s">
        <v>973</v>
      </c>
      <c r="C2856" t="s">
        <v>9087</v>
      </c>
      <c r="D2856" t="s">
        <v>9088</v>
      </c>
      <c r="E2856" t="s">
        <v>24</v>
      </c>
      <c r="F2856" t="s">
        <v>24</v>
      </c>
      <c r="G2856" t="s">
        <v>12</v>
      </c>
      <c r="H2856">
        <f>42791*(1.01^10)</f>
        <v>47267.885368470859</v>
      </c>
      <c r="I2856">
        <f>189366*(1.01^10)</f>
        <v>209177.87340061821</v>
      </c>
      <c r="J2856" t="s">
        <v>9089</v>
      </c>
      <c r="K2856">
        <f t="shared" si="44"/>
        <v>4204.5803698616728</v>
      </c>
    </row>
    <row r="2857" spans="1:11" x14ac:dyDescent="0.2">
      <c r="A2857" t="s">
        <v>1340</v>
      </c>
      <c r="B2857" t="s">
        <v>2942</v>
      </c>
      <c r="C2857" t="s">
        <v>9090</v>
      </c>
      <c r="D2857" t="s">
        <v>9091</v>
      </c>
      <c r="E2857" t="s">
        <v>740</v>
      </c>
      <c r="F2857" t="s">
        <v>318</v>
      </c>
      <c r="G2857" t="s">
        <v>12</v>
      </c>
      <c r="H2857">
        <f>26132*(1.01^10)</f>
        <v>28865.985381245602</v>
      </c>
      <c r="I2857">
        <f>107906*(1.01^10)</f>
        <v>119195.35506462146</v>
      </c>
      <c r="J2857" t="s">
        <v>9092</v>
      </c>
      <c r="K2857">
        <f t="shared" si="44"/>
        <v>117.25305561026614</v>
      </c>
    </row>
    <row r="2858" spans="1:11" x14ac:dyDescent="0.2">
      <c r="A2858" t="s">
        <v>1340</v>
      </c>
      <c r="B2858" t="s">
        <v>2942</v>
      </c>
      <c r="C2858" t="s">
        <v>9093</v>
      </c>
      <c r="D2858" t="s">
        <v>9094</v>
      </c>
      <c r="E2858" t="s">
        <v>2400</v>
      </c>
      <c r="F2858" t="s">
        <v>1506</v>
      </c>
      <c r="G2858" t="s">
        <v>24</v>
      </c>
      <c r="H2858">
        <f>18830*(1.01^10)</f>
        <v>20800.034621492985</v>
      </c>
      <c r="I2858">
        <f>72887*(1.01^10)</f>
        <v>80512.592854846487</v>
      </c>
      <c r="J2858" t="s">
        <v>9095</v>
      </c>
      <c r="K2858">
        <f t="shared" si="44"/>
        <v>125.90632572521487</v>
      </c>
    </row>
    <row r="2859" spans="1:11" x14ac:dyDescent="0.2">
      <c r="A2859" t="s">
        <v>1340</v>
      </c>
      <c r="B2859" t="s">
        <v>2942</v>
      </c>
      <c r="C2859" t="s">
        <v>9096</v>
      </c>
      <c r="D2859" t="s">
        <v>9097</v>
      </c>
      <c r="E2859" t="s">
        <v>1049</v>
      </c>
      <c r="F2859" t="s">
        <v>324</v>
      </c>
      <c r="G2859" t="s">
        <v>24</v>
      </c>
      <c r="H2859">
        <f>12026*(1.01^10)</f>
        <v>13284.185680195149</v>
      </c>
      <c r="I2859">
        <f>52419*(1.01^10)</f>
        <v>57903.187191929945</v>
      </c>
      <c r="J2859" t="s">
        <v>9098</v>
      </c>
      <c r="K2859">
        <f t="shared" si="44"/>
        <v>93.317176282909372</v>
      </c>
    </row>
    <row r="2860" spans="1:11" x14ac:dyDescent="0.2">
      <c r="A2860" t="s">
        <v>1340</v>
      </c>
      <c r="B2860" t="s">
        <v>2942</v>
      </c>
      <c r="C2860" t="s">
        <v>9099</v>
      </c>
      <c r="D2860" t="s">
        <v>9100</v>
      </c>
      <c r="E2860" t="s">
        <v>698</v>
      </c>
      <c r="F2860" t="s">
        <v>726</v>
      </c>
      <c r="G2860" t="s">
        <v>24</v>
      </c>
      <c r="H2860">
        <f>18464*(1.01^10)</f>
        <v>20395.742923592483</v>
      </c>
      <c r="I2860">
        <f>79308*(1.01^10)</f>
        <v>87605.371522111833</v>
      </c>
      <c r="J2860" t="s">
        <v>9101</v>
      </c>
      <c r="K2860">
        <f t="shared" si="44"/>
        <v>132.04079049990941</v>
      </c>
    </row>
    <row r="2861" spans="1:11" x14ac:dyDescent="0.2">
      <c r="A2861" t="s">
        <v>1340</v>
      </c>
      <c r="B2861" t="s">
        <v>154</v>
      </c>
      <c r="C2861" t="s">
        <v>9102</v>
      </c>
      <c r="D2861" t="s">
        <v>9103</v>
      </c>
      <c r="E2861" t="s">
        <v>320</v>
      </c>
      <c r="F2861" t="s">
        <v>405</v>
      </c>
      <c r="G2861" t="s">
        <v>24</v>
      </c>
      <c r="H2861">
        <f>20953*(1.01^10)</f>
        <v>23145.147393740972</v>
      </c>
      <c r="I2861">
        <f>84559*(1.01^10)</f>
        <v>93405.74230264606</v>
      </c>
      <c r="J2861" t="s">
        <v>9104</v>
      </c>
      <c r="K2861">
        <f t="shared" si="44"/>
        <v>100.00040827237437</v>
      </c>
    </row>
    <row r="2862" spans="1:11" x14ac:dyDescent="0.2">
      <c r="A2862" t="s">
        <v>1340</v>
      </c>
      <c r="B2862" t="s">
        <v>154</v>
      </c>
      <c r="C2862" t="s">
        <v>9105</v>
      </c>
      <c r="D2862" t="s">
        <v>9106</v>
      </c>
      <c r="E2862" t="s">
        <v>1549</v>
      </c>
      <c r="F2862" t="s">
        <v>24</v>
      </c>
      <c r="G2862" t="s">
        <v>24</v>
      </c>
      <c r="H2862">
        <f>17864*(1.01^10)</f>
        <v>19732.969648345763</v>
      </c>
      <c r="I2862">
        <f>70547*(1.01^10)</f>
        <v>77927.777081384265</v>
      </c>
      <c r="J2862" t="s">
        <v>9107</v>
      </c>
      <c r="K2862">
        <f t="shared" si="44"/>
        <v>161.76877351895124</v>
      </c>
    </row>
    <row r="2863" spans="1:11" x14ac:dyDescent="0.2">
      <c r="A2863" t="s">
        <v>1340</v>
      </c>
      <c r="B2863" t="s">
        <v>154</v>
      </c>
      <c r="C2863" t="s">
        <v>9108</v>
      </c>
      <c r="D2863" t="s">
        <v>9109</v>
      </c>
      <c r="E2863" t="s">
        <v>91</v>
      </c>
      <c r="F2863" t="s">
        <v>12</v>
      </c>
      <c r="G2863" t="s">
        <v>24</v>
      </c>
      <c r="H2863">
        <f>11292*(1.01^10)</f>
        <v>12473.393040143324</v>
      </c>
      <c r="I2863">
        <f>42101*(1.01^10)</f>
        <v>46505.69610193713</v>
      </c>
      <c r="J2863" t="s">
        <v>9110</v>
      </c>
      <c r="K2863">
        <f t="shared" si="44"/>
        <v>200.13758550548616</v>
      </c>
    </row>
    <row r="2864" spans="1:11" x14ac:dyDescent="0.2">
      <c r="A2864" t="s">
        <v>1340</v>
      </c>
      <c r="B2864" t="s">
        <v>154</v>
      </c>
      <c r="C2864" t="s">
        <v>9111</v>
      </c>
      <c r="D2864" t="s">
        <v>9112</v>
      </c>
      <c r="E2864" t="s">
        <v>789</v>
      </c>
      <c r="F2864" t="s">
        <v>24</v>
      </c>
      <c r="G2864" t="s">
        <v>24</v>
      </c>
      <c r="H2864">
        <f>8849*(1.01^10)</f>
        <v>9774.8011877637509</v>
      </c>
      <c r="I2864">
        <f>35427*(1.01^10)</f>
        <v>39133.448036942747</v>
      </c>
      <c r="J2864" t="s">
        <v>9113</v>
      </c>
      <c r="K2864">
        <f t="shared" si="44"/>
        <v>176.7912082363963</v>
      </c>
    </row>
    <row r="2865" spans="1:11" x14ac:dyDescent="0.2">
      <c r="A2865" t="s">
        <v>1340</v>
      </c>
      <c r="B2865" t="s">
        <v>154</v>
      </c>
      <c r="C2865" t="s">
        <v>9114</v>
      </c>
      <c r="D2865" t="s">
        <v>9115</v>
      </c>
      <c r="E2865" t="s">
        <v>17</v>
      </c>
      <c r="F2865" t="s">
        <v>24</v>
      </c>
      <c r="G2865" t="s">
        <v>12</v>
      </c>
      <c r="H2865">
        <f>10942*(1.01^10)</f>
        <v>12086.775296249401</v>
      </c>
      <c r="I2865">
        <f>48969*(1.01^10)</f>
        <v>54092.240859261285</v>
      </c>
      <c r="J2865" t="s">
        <v>9116</v>
      </c>
      <c r="K2865">
        <f t="shared" si="44"/>
        <v>1316.162830359644</v>
      </c>
    </row>
    <row r="2866" spans="1:11" x14ac:dyDescent="0.2">
      <c r="A2866" t="s">
        <v>1340</v>
      </c>
      <c r="B2866" t="s">
        <v>154</v>
      </c>
      <c r="C2866" t="s">
        <v>9117</v>
      </c>
      <c r="D2866" t="s">
        <v>9118</v>
      </c>
      <c r="E2866" t="s">
        <v>324</v>
      </c>
      <c r="F2866" t="s">
        <v>24</v>
      </c>
      <c r="G2866" t="s">
        <v>24</v>
      </c>
      <c r="H2866">
        <f>18708*(1.01^10)</f>
        <v>20665.270722192818</v>
      </c>
      <c r="I2866">
        <f>74134*(1.01^10)</f>
        <v>81890.056645234246</v>
      </c>
      <c r="J2866" t="s">
        <v>9119</v>
      </c>
      <c r="K2866">
        <f t="shared" si="44"/>
        <v>171.45123164939145</v>
      </c>
    </row>
    <row r="2867" spans="1:11" x14ac:dyDescent="0.2">
      <c r="A2867" t="s">
        <v>1340</v>
      </c>
      <c r="B2867" t="s">
        <v>154</v>
      </c>
      <c r="C2867" t="s">
        <v>9120</v>
      </c>
      <c r="D2867" t="s">
        <v>9121</v>
      </c>
      <c r="E2867" t="s">
        <v>612</v>
      </c>
      <c r="F2867" t="s">
        <v>24</v>
      </c>
      <c r="G2867" t="s">
        <v>24</v>
      </c>
      <c r="H2867">
        <f>14194*(1.01^10)</f>
        <v>15679.00644808664</v>
      </c>
      <c r="I2867">
        <f>57452*(1.01^10)</f>
        <v>63462.750349124537</v>
      </c>
      <c r="J2867" t="s">
        <v>9122</v>
      </c>
      <c r="K2867">
        <f t="shared" si="44"/>
        <v>166.03694365195565</v>
      </c>
    </row>
    <row r="2868" spans="1:11" x14ac:dyDescent="0.2">
      <c r="A2868" t="s">
        <v>1340</v>
      </c>
      <c r="B2868" t="s">
        <v>154</v>
      </c>
      <c r="C2868" t="s">
        <v>9123</v>
      </c>
      <c r="D2868" t="s">
        <v>9124</v>
      </c>
      <c r="E2868" t="s">
        <v>484</v>
      </c>
      <c r="F2868" t="s">
        <v>12</v>
      </c>
      <c r="G2868" t="s">
        <v>24</v>
      </c>
      <c r="H2868">
        <f>19844*(1.01^10)</f>
        <v>21920.121456659948</v>
      </c>
      <c r="I2868">
        <f>80443*(1.01^10)</f>
        <v>88859.117634453549</v>
      </c>
      <c r="J2868" t="s">
        <v>9125</v>
      </c>
      <c r="K2868">
        <f t="shared" si="44"/>
        <v>181.59561869670509</v>
      </c>
    </row>
    <row r="2869" spans="1:11" x14ac:dyDescent="0.2">
      <c r="A2869" t="s">
        <v>1340</v>
      </c>
      <c r="B2869" t="s">
        <v>154</v>
      </c>
      <c r="C2869" t="s">
        <v>9126</v>
      </c>
      <c r="D2869" t="s">
        <v>9127</v>
      </c>
      <c r="E2869" t="s">
        <v>542</v>
      </c>
      <c r="F2869" t="s">
        <v>24</v>
      </c>
      <c r="G2869" t="s">
        <v>24</v>
      </c>
      <c r="H2869">
        <f>18163*(1.01^10)</f>
        <v>20063.251663843712</v>
      </c>
      <c r="I2869">
        <f>77943*(1.01^10)</f>
        <v>86097.562320925528</v>
      </c>
      <c r="J2869" t="s">
        <v>9128</v>
      </c>
      <c r="K2869">
        <f t="shared" si="44"/>
        <v>208.73678375297041</v>
      </c>
    </row>
    <row r="2870" spans="1:11" x14ac:dyDescent="0.2">
      <c r="A2870" t="s">
        <v>1340</v>
      </c>
      <c r="B2870" t="s">
        <v>154</v>
      </c>
      <c r="C2870" t="s">
        <v>9129</v>
      </c>
      <c r="D2870" t="s">
        <v>9130</v>
      </c>
      <c r="E2870" t="s">
        <v>131</v>
      </c>
      <c r="F2870" t="s">
        <v>24</v>
      </c>
      <c r="G2870" t="s">
        <v>24</v>
      </c>
      <c r="H2870">
        <f>14667*(1.01^10)</f>
        <v>16201.49271340614</v>
      </c>
      <c r="I2870">
        <f>66462*(1.01^10)</f>
        <v>73415.395699079483</v>
      </c>
      <c r="J2870" t="s">
        <v>9131</v>
      </c>
      <c r="K2870">
        <f t="shared" si="44"/>
        <v>234.25453135545177</v>
      </c>
    </row>
    <row r="2871" spans="1:11" x14ac:dyDescent="0.2">
      <c r="A2871" t="s">
        <v>1340</v>
      </c>
      <c r="B2871" t="s">
        <v>154</v>
      </c>
      <c r="C2871" t="s">
        <v>9132</v>
      </c>
      <c r="D2871" t="s">
        <v>9133</v>
      </c>
      <c r="E2871" t="s">
        <v>394</v>
      </c>
      <c r="F2871" t="s">
        <v>5</v>
      </c>
      <c r="G2871" t="s">
        <v>11</v>
      </c>
      <c r="H2871">
        <f>35450*(1.01^10)</f>
        <v>39158.854345827211</v>
      </c>
      <c r="I2871">
        <f>166131*(1.01^10)</f>
        <v>183511.97831668885</v>
      </c>
      <c r="J2871" t="s">
        <v>9134</v>
      </c>
      <c r="K2871">
        <f t="shared" si="44"/>
        <v>293.44216804378635</v>
      </c>
    </row>
    <row r="2872" spans="1:11" x14ac:dyDescent="0.2">
      <c r="A2872" t="s">
        <v>1340</v>
      </c>
      <c r="B2872" t="s">
        <v>154</v>
      </c>
      <c r="C2872" t="s">
        <v>9135</v>
      </c>
      <c r="D2872" t="s">
        <v>9136</v>
      </c>
      <c r="E2872" t="s">
        <v>674</v>
      </c>
      <c r="F2872" t="s">
        <v>17</v>
      </c>
      <c r="G2872" t="s">
        <v>24</v>
      </c>
      <c r="H2872">
        <f>9471*(1.01^10)</f>
        <v>10461.87614976952</v>
      </c>
      <c r="I2872">
        <f>43474*(1.01^10)</f>
        <v>48022.342280126715</v>
      </c>
      <c r="J2872" t="s">
        <v>9137</v>
      </c>
      <c r="K2872">
        <f t="shared" si="44"/>
        <v>207.84526460675113</v>
      </c>
    </row>
    <row r="2873" spans="1:11" x14ac:dyDescent="0.2">
      <c r="A2873" t="s">
        <v>1340</v>
      </c>
      <c r="B2873" t="s">
        <v>154</v>
      </c>
      <c r="C2873" t="s">
        <v>9138</v>
      </c>
      <c r="D2873" t="s">
        <v>9139</v>
      </c>
      <c r="E2873" t="s">
        <v>264</v>
      </c>
      <c r="F2873" t="s">
        <v>24</v>
      </c>
      <c r="G2873" t="s">
        <v>17</v>
      </c>
      <c r="H2873">
        <f>20730*(1.01^10)</f>
        <v>22898.816659774275</v>
      </c>
      <c r="I2873">
        <f>96881*(1.01^10)</f>
        <v>107016.89613196293</v>
      </c>
      <c r="J2873" t="s">
        <v>9140</v>
      </c>
      <c r="K2873">
        <f t="shared" si="44"/>
        <v>357.32114176746666</v>
      </c>
    </row>
    <row r="2874" spans="1:11" x14ac:dyDescent="0.2">
      <c r="A2874" t="s">
        <v>1340</v>
      </c>
      <c r="B2874" t="s">
        <v>154</v>
      </c>
      <c r="C2874" t="s">
        <v>9141</v>
      </c>
      <c r="D2874" t="s">
        <v>9142</v>
      </c>
      <c r="E2874" t="s">
        <v>1545</v>
      </c>
      <c r="F2874" t="s">
        <v>12</v>
      </c>
      <c r="G2874" t="s">
        <v>24</v>
      </c>
      <c r="H2874">
        <f>13509*(1.01^10)</f>
        <v>14922.340292179964</v>
      </c>
      <c r="I2874">
        <f>61931*(1.01^10)</f>
        <v>68410.352848841314</v>
      </c>
      <c r="J2874" t="s">
        <v>9143</v>
      </c>
      <c r="K2874">
        <f t="shared" si="44"/>
        <v>370.65412154037449</v>
      </c>
    </row>
    <row r="2875" spans="1:11" x14ac:dyDescent="0.2">
      <c r="A2875" t="s">
        <v>1340</v>
      </c>
      <c r="B2875" t="s">
        <v>154</v>
      </c>
      <c r="C2875" t="s">
        <v>9144</v>
      </c>
      <c r="D2875" t="s">
        <v>9145</v>
      </c>
      <c r="E2875" t="s">
        <v>436</v>
      </c>
      <c r="F2875" t="s">
        <v>24</v>
      </c>
      <c r="G2875" t="s">
        <v>24</v>
      </c>
      <c r="H2875">
        <f>20707*(1.01^10)</f>
        <v>22873.410350889815</v>
      </c>
      <c r="I2875">
        <f>98455*(1.01^10)</f>
        <v>108755.57135736017</v>
      </c>
      <c r="J2875" t="s">
        <v>9146</v>
      </c>
      <c r="K2875">
        <f t="shared" si="44"/>
        <v>272.79573497588228</v>
      </c>
    </row>
    <row r="2876" spans="1:11" x14ac:dyDescent="0.2">
      <c r="A2876" t="s">
        <v>1340</v>
      </c>
      <c r="B2876" t="s">
        <v>154</v>
      </c>
      <c r="C2876" t="s">
        <v>9147</v>
      </c>
      <c r="D2876" t="s">
        <v>9148</v>
      </c>
      <c r="E2876" t="s">
        <v>458</v>
      </c>
      <c r="F2876" t="s">
        <v>24</v>
      </c>
      <c r="G2876" t="s">
        <v>24</v>
      </c>
      <c r="H2876">
        <f>3076*(1.01^10)</f>
        <v>3397.817657764866</v>
      </c>
      <c r="I2876">
        <f>14399*(1.01^10)</f>
        <v>15905.453983795936</v>
      </c>
      <c r="J2876" t="s">
        <v>9149</v>
      </c>
      <c r="K2876">
        <f t="shared" si="44"/>
        <v>573.53277576167227</v>
      </c>
    </row>
    <row r="2877" spans="1:11" x14ac:dyDescent="0.2">
      <c r="A2877" t="s">
        <v>1340</v>
      </c>
      <c r="B2877" t="s">
        <v>154</v>
      </c>
      <c r="C2877" t="s">
        <v>9150</v>
      </c>
      <c r="D2877" t="s">
        <v>9151</v>
      </c>
      <c r="E2877" t="s">
        <v>2795</v>
      </c>
      <c r="F2877" t="s">
        <v>24</v>
      </c>
      <c r="G2877" t="s">
        <v>24</v>
      </c>
      <c r="H2877">
        <f>12214*(1.01^10)</f>
        <v>13491.854639772455</v>
      </c>
      <c r="I2877">
        <f>57664*(1.01^10)</f>
        <v>63696.930239711714</v>
      </c>
      <c r="J2877" t="s">
        <v>9152</v>
      </c>
      <c r="K2877">
        <f t="shared" si="44"/>
        <v>226.7278786919332</v>
      </c>
    </row>
    <row r="2878" spans="1:11" x14ac:dyDescent="0.2">
      <c r="A2878" t="s">
        <v>1340</v>
      </c>
      <c r="B2878" t="s">
        <v>154</v>
      </c>
      <c r="C2878" t="s">
        <v>9153</v>
      </c>
      <c r="D2878" t="s">
        <v>9154</v>
      </c>
      <c r="E2878" t="s">
        <v>12</v>
      </c>
      <c r="F2878" t="s">
        <v>24</v>
      </c>
      <c r="G2878" t="s">
        <v>17</v>
      </c>
      <c r="H2878">
        <f>5787*(1.01^10)</f>
        <v>6392.4482397546417</v>
      </c>
      <c r="I2878">
        <f>26095*(1.01^10)</f>
        <v>28825.114362605389</v>
      </c>
      <c r="J2878" t="s">
        <v>9155</v>
      </c>
      <c r="K2878">
        <f t="shared" si="44"/>
        <v>2087.3411568356814</v>
      </c>
    </row>
    <row r="2879" spans="1:11" x14ac:dyDescent="0.2">
      <c r="A2879" t="s">
        <v>1340</v>
      </c>
      <c r="B2879" t="s">
        <v>154</v>
      </c>
      <c r="C2879" t="s">
        <v>9156</v>
      </c>
      <c r="D2879" t="s">
        <v>9157</v>
      </c>
      <c r="E2879" t="s">
        <v>5</v>
      </c>
      <c r="F2879" t="s">
        <v>24</v>
      </c>
      <c r="G2879" t="s">
        <v>24</v>
      </c>
      <c r="H2879">
        <f>1200*(1.01^10)</f>
        <v>1325.5465504934457</v>
      </c>
      <c r="I2879">
        <f>5851*(1.01^10)</f>
        <v>6463.1440557809592</v>
      </c>
      <c r="J2879" t="s">
        <v>9158</v>
      </c>
      <c r="K2879">
        <f t="shared" si="44"/>
        <v>274.98087215631233</v>
      </c>
    </row>
    <row r="2880" spans="1:11" x14ac:dyDescent="0.2">
      <c r="A2880" t="s">
        <v>1340</v>
      </c>
      <c r="B2880" t="s">
        <v>154</v>
      </c>
      <c r="C2880" t="s">
        <v>9159</v>
      </c>
      <c r="D2880" t="s">
        <v>9160</v>
      </c>
      <c r="E2880" t="s">
        <v>56</v>
      </c>
      <c r="F2880" t="s">
        <v>12</v>
      </c>
      <c r="G2880" t="s">
        <v>12</v>
      </c>
      <c r="H2880">
        <f>5541*(1.01^10)</f>
        <v>6120.7111969034859</v>
      </c>
      <c r="I2880">
        <f>24846*(1.01^10)</f>
        <v>27445.441327966793</v>
      </c>
      <c r="J2880" t="s">
        <v>9161</v>
      </c>
      <c r="K2880">
        <f t="shared" si="44"/>
        <v>211.82627701084903</v>
      </c>
    </row>
    <row r="2881" spans="1:11" x14ac:dyDescent="0.2">
      <c r="A2881" t="s">
        <v>1340</v>
      </c>
      <c r="B2881" t="s">
        <v>154</v>
      </c>
      <c r="C2881" t="s">
        <v>9162</v>
      </c>
      <c r="D2881" t="s">
        <v>9163</v>
      </c>
      <c r="E2881" t="s">
        <v>185</v>
      </c>
      <c r="F2881" t="s">
        <v>12</v>
      </c>
      <c r="G2881" t="s">
        <v>24</v>
      </c>
      <c r="H2881">
        <f>4651*(1.01^10)</f>
        <v>5137.5975052875128</v>
      </c>
      <c r="I2881">
        <f>21864*(1.01^10)</f>
        <v>24151.45814999058</v>
      </c>
      <c r="J2881" t="s">
        <v>9164</v>
      </c>
      <c r="K2881">
        <f t="shared" si="44"/>
        <v>79.007465745348199</v>
      </c>
    </row>
    <row r="2882" spans="1:11" x14ac:dyDescent="0.2">
      <c r="A2882" t="s">
        <v>1340</v>
      </c>
      <c r="B2882" t="s">
        <v>154</v>
      </c>
      <c r="C2882" t="s">
        <v>9165</v>
      </c>
      <c r="D2882" t="s">
        <v>9166</v>
      </c>
      <c r="E2882" t="s">
        <v>164</v>
      </c>
      <c r="F2882" t="s">
        <v>12</v>
      </c>
      <c r="G2882" t="s">
        <v>24</v>
      </c>
      <c r="H2882">
        <f>9160*(1.01^10)</f>
        <v>10118.338668766635</v>
      </c>
      <c r="I2882">
        <f>42854*(1.01^10)</f>
        <v>47337.476562371769</v>
      </c>
      <c r="J2882" t="s">
        <v>9167</v>
      </c>
      <c r="K2882">
        <f t="shared" si="44"/>
        <v>112.55121987589048</v>
      </c>
    </row>
    <row r="2883" spans="1:11" x14ac:dyDescent="0.2">
      <c r="A2883" t="s">
        <v>1340</v>
      </c>
      <c r="B2883" t="s">
        <v>154</v>
      </c>
      <c r="C2883" t="s">
        <v>9168</v>
      </c>
      <c r="D2883" t="s">
        <v>9169</v>
      </c>
      <c r="E2883" t="s">
        <v>126</v>
      </c>
      <c r="F2883" t="s">
        <v>11</v>
      </c>
      <c r="G2883" t="s">
        <v>12</v>
      </c>
      <c r="H2883">
        <f>9770*(1.01^10)</f>
        <v>10792.15816526747</v>
      </c>
      <c r="I2883">
        <f>40824*(1.01^10)</f>
        <v>45095.09364778702</v>
      </c>
      <c r="J2883" t="s">
        <v>9170</v>
      </c>
      <c r="K2883">
        <f t="shared" ref="K2883:K2946" si="45">I2883/J2883</f>
        <v>131.22823109247972</v>
      </c>
    </row>
    <row r="2884" spans="1:11" x14ac:dyDescent="0.2">
      <c r="A2884" t="s">
        <v>1340</v>
      </c>
      <c r="B2884" t="s">
        <v>154</v>
      </c>
      <c r="C2884" t="s">
        <v>9171</v>
      </c>
      <c r="D2884" t="s">
        <v>9172</v>
      </c>
      <c r="E2884" t="s">
        <v>2400</v>
      </c>
      <c r="F2884" t="s">
        <v>158</v>
      </c>
      <c r="G2884" t="s">
        <v>12</v>
      </c>
      <c r="H2884">
        <f>18076*(1.01^10)</f>
        <v>19967.149538932936</v>
      </c>
      <c r="I2884">
        <f>77841*(1.01^10)</f>
        <v>85984.890864133587</v>
      </c>
      <c r="J2884" t="s">
        <v>9173</v>
      </c>
      <c r="K2884">
        <f t="shared" si="45"/>
        <v>161.54728911952139</v>
      </c>
    </row>
    <row r="2885" spans="1:11" x14ac:dyDescent="0.2">
      <c r="A2885" t="s">
        <v>1340</v>
      </c>
      <c r="B2885" t="s">
        <v>154</v>
      </c>
      <c r="C2885" t="s">
        <v>9174</v>
      </c>
      <c r="D2885" t="s">
        <v>9175</v>
      </c>
      <c r="E2885" t="s">
        <v>1362</v>
      </c>
      <c r="F2885" t="s">
        <v>5</v>
      </c>
      <c r="G2885" t="s">
        <v>24</v>
      </c>
      <c r="H2885">
        <f>7601*(1.01^10)</f>
        <v>8396.232775250568</v>
      </c>
      <c r="I2885">
        <f>35256*(1.01^10)</f>
        <v>38944.557653497432</v>
      </c>
      <c r="J2885" t="s">
        <v>9176</v>
      </c>
      <c r="K2885">
        <f t="shared" si="45"/>
        <v>45.466803770862825</v>
      </c>
    </row>
    <row r="2886" spans="1:11" x14ac:dyDescent="0.2">
      <c r="A2886" t="s">
        <v>1340</v>
      </c>
      <c r="B2886" t="s">
        <v>154</v>
      </c>
      <c r="C2886" t="s">
        <v>9177</v>
      </c>
      <c r="D2886" t="s">
        <v>9178</v>
      </c>
      <c r="E2886" t="s">
        <v>789</v>
      </c>
      <c r="F2886" t="s">
        <v>12</v>
      </c>
      <c r="G2886" t="s">
        <v>24</v>
      </c>
      <c r="H2886">
        <f>5430*(1.01^10)</f>
        <v>5998.0981409828419</v>
      </c>
      <c r="I2886">
        <f>23589*(1.01^10)</f>
        <v>26056.93131632491</v>
      </c>
      <c r="J2886" t="s">
        <v>9179</v>
      </c>
      <c r="K2886">
        <f t="shared" si="45"/>
        <v>104.22161428210319</v>
      </c>
    </row>
    <row r="2887" spans="1:11" x14ac:dyDescent="0.2">
      <c r="A2887" t="s">
        <v>1340</v>
      </c>
      <c r="B2887" t="s">
        <v>154</v>
      </c>
      <c r="C2887" t="s">
        <v>9180</v>
      </c>
      <c r="D2887" t="s">
        <v>9181</v>
      </c>
      <c r="E2887" t="s">
        <v>1303</v>
      </c>
      <c r="F2887" t="s">
        <v>458</v>
      </c>
      <c r="G2887" t="s">
        <v>12</v>
      </c>
      <c r="H2887">
        <f>15214*(1.01^10)</f>
        <v>16805.721016006068</v>
      </c>
      <c r="I2887">
        <f>61804*(1.01^10)</f>
        <v>68270.065838914103</v>
      </c>
      <c r="J2887" t="s">
        <v>9182</v>
      </c>
      <c r="K2887">
        <f t="shared" si="45"/>
        <v>207.02497594642443</v>
      </c>
    </row>
    <row r="2888" spans="1:11" x14ac:dyDescent="0.2">
      <c r="A2888" t="s">
        <v>1340</v>
      </c>
      <c r="B2888" t="s">
        <v>154</v>
      </c>
      <c r="C2888" t="s">
        <v>9183</v>
      </c>
      <c r="D2888" t="s">
        <v>9184</v>
      </c>
      <c r="E2888" t="s">
        <v>1506</v>
      </c>
      <c r="F2888" t="s">
        <v>24</v>
      </c>
      <c r="G2888" t="s">
        <v>24</v>
      </c>
      <c r="H2888">
        <f>4402*(1.01^10)</f>
        <v>4862.5465960601232</v>
      </c>
      <c r="I2888">
        <f>19191*(1.01^10)</f>
        <v>21198.803208766429</v>
      </c>
      <c r="J2888" t="s">
        <v>9185</v>
      </c>
      <c r="K2888">
        <f t="shared" si="45"/>
        <v>65.802894874412559</v>
      </c>
    </row>
    <row r="2889" spans="1:11" x14ac:dyDescent="0.2">
      <c r="A2889" t="s">
        <v>1340</v>
      </c>
      <c r="B2889" t="s">
        <v>154</v>
      </c>
      <c r="C2889" t="s">
        <v>9186</v>
      </c>
      <c r="D2889" t="s">
        <v>9187</v>
      </c>
      <c r="E2889" t="s">
        <v>24</v>
      </c>
      <c r="F2889" t="s">
        <v>24</v>
      </c>
      <c r="G2889" t="s">
        <v>12</v>
      </c>
      <c r="H2889">
        <f>72336*(1.01^10)</f>
        <v>79903.946063744908</v>
      </c>
      <c r="I2889">
        <f>320040*(1.01^10)</f>
        <v>353523.26501660194</v>
      </c>
      <c r="J2889" t="s">
        <v>9188</v>
      </c>
      <c r="K2889">
        <f t="shared" si="45"/>
        <v>6294.9299326318014</v>
      </c>
    </row>
    <row r="2890" spans="1:11" x14ac:dyDescent="0.2">
      <c r="A2890" t="s">
        <v>1340</v>
      </c>
      <c r="B2890" t="s">
        <v>154</v>
      </c>
      <c r="C2890" t="s">
        <v>9189</v>
      </c>
      <c r="D2890" t="s">
        <v>9190</v>
      </c>
      <c r="E2890" t="s">
        <v>24</v>
      </c>
      <c r="F2890" t="s">
        <v>24</v>
      </c>
      <c r="G2890" t="s">
        <v>12</v>
      </c>
      <c r="H2890">
        <f>49308*(1.01^10)</f>
        <v>54466.707759775687</v>
      </c>
      <c r="I2890">
        <f>216410*(1.01^10)</f>
        <v>239051.27416023883</v>
      </c>
      <c r="J2890" t="s">
        <v>9191</v>
      </c>
      <c r="K2890">
        <f t="shared" si="45"/>
        <v>2520.840178848875</v>
      </c>
    </row>
    <row r="2891" spans="1:11" x14ac:dyDescent="0.2">
      <c r="A2891" t="s">
        <v>1340</v>
      </c>
      <c r="B2891" t="s">
        <v>9192</v>
      </c>
      <c r="C2891" t="s">
        <v>9193</v>
      </c>
      <c r="D2891" t="s">
        <v>9194</v>
      </c>
      <c r="E2891" t="s">
        <v>445</v>
      </c>
      <c r="F2891" t="s">
        <v>17</v>
      </c>
      <c r="G2891" t="s">
        <v>12</v>
      </c>
      <c r="H2891">
        <f>18889*(1.01^10)</f>
        <v>20865.207326892247</v>
      </c>
      <c r="I2891">
        <f>84130*(1.01^10)</f>
        <v>92931.859410844656</v>
      </c>
      <c r="J2891" t="s">
        <v>9195</v>
      </c>
      <c r="K2891">
        <f t="shared" si="45"/>
        <v>494.36571970464126</v>
      </c>
    </row>
    <row r="2892" spans="1:11" x14ac:dyDescent="0.2">
      <c r="A2892" t="s">
        <v>1340</v>
      </c>
      <c r="B2892" t="s">
        <v>9192</v>
      </c>
      <c r="C2892" t="s">
        <v>9196</v>
      </c>
      <c r="D2892" t="s">
        <v>9197</v>
      </c>
      <c r="E2892" t="s">
        <v>108</v>
      </c>
      <c r="F2892" t="s">
        <v>24</v>
      </c>
      <c r="G2892" t="s">
        <v>12</v>
      </c>
      <c r="H2892">
        <f>4572*(1.01^10)</f>
        <v>5050.332357380028</v>
      </c>
      <c r="I2892">
        <f>19993*(1.01^10)</f>
        <v>22084.710153346216</v>
      </c>
      <c r="J2892" t="s">
        <v>9198</v>
      </c>
      <c r="K2892">
        <f t="shared" si="45"/>
        <v>291.16216758505959</v>
      </c>
    </row>
    <row r="2893" spans="1:11" x14ac:dyDescent="0.2">
      <c r="A2893" t="s">
        <v>1340</v>
      </c>
      <c r="B2893" t="s">
        <v>9192</v>
      </c>
      <c r="C2893" t="s">
        <v>9199</v>
      </c>
      <c r="D2893" t="s">
        <v>9200</v>
      </c>
      <c r="E2893" t="s">
        <v>411</v>
      </c>
      <c r="F2893" t="s">
        <v>12</v>
      </c>
      <c r="G2893" t="s">
        <v>24</v>
      </c>
      <c r="H2893">
        <f>3615*(1.01^10)</f>
        <v>3993.208983361505</v>
      </c>
      <c r="I2893">
        <f>16560*(1.01^10)</f>
        <v>18292.542396809549</v>
      </c>
      <c r="J2893" t="s">
        <v>9201</v>
      </c>
      <c r="K2893">
        <f t="shared" si="45"/>
        <v>203.14766085593584</v>
      </c>
    </row>
    <row r="2894" spans="1:11" x14ac:dyDescent="0.2">
      <c r="A2894" t="s">
        <v>1340</v>
      </c>
      <c r="B2894" t="s">
        <v>9192</v>
      </c>
      <c r="C2894" t="s">
        <v>9202</v>
      </c>
      <c r="D2894" t="s">
        <v>9203</v>
      </c>
      <c r="E2894" t="s">
        <v>1656</v>
      </c>
      <c r="F2894" t="s">
        <v>5</v>
      </c>
      <c r="G2894" t="s">
        <v>12</v>
      </c>
      <c r="H2894">
        <f>16373*(1.01^10)</f>
        <v>18085.978059357654</v>
      </c>
      <c r="I2894">
        <f>72698*(1.01^10)</f>
        <v>80303.819273143759</v>
      </c>
      <c r="J2894" t="s">
        <v>9204</v>
      </c>
      <c r="K2894">
        <f t="shared" si="45"/>
        <v>575.79977006936645</v>
      </c>
    </row>
    <row r="2895" spans="1:11" x14ac:dyDescent="0.2">
      <c r="A2895" t="s">
        <v>1340</v>
      </c>
      <c r="B2895" t="s">
        <v>9192</v>
      </c>
      <c r="C2895" t="s">
        <v>9205</v>
      </c>
      <c r="D2895" t="s">
        <v>9206</v>
      </c>
      <c r="E2895" t="s">
        <v>612</v>
      </c>
      <c r="F2895" t="s">
        <v>17</v>
      </c>
      <c r="G2895" t="s">
        <v>12</v>
      </c>
      <c r="H2895">
        <f>12750*(1.01^10)</f>
        <v>14083.93209899286</v>
      </c>
      <c r="I2895">
        <f>56271*(1.01^10)</f>
        <v>62158.191619013902</v>
      </c>
      <c r="J2895" t="s">
        <v>9207</v>
      </c>
      <c r="K2895">
        <f t="shared" si="45"/>
        <v>147.29325987459006</v>
      </c>
    </row>
    <row r="2896" spans="1:11" x14ac:dyDescent="0.2">
      <c r="A2896" t="s">
        <v>1340</v>
      </c>
      <c r="B2896" t="s">
        <v>9192</v>
      </c>
      <c r="C2896" t="s">
        <v>9208</v>
      </c>
      <c r="D2896" t="s">
        <v>9209</v>
      </c>
      <c r="E2896" t="s">
        <v>1215</v>
      </c>
      <c r="F2896" t="s">
        <v>17</v>
      </c>
      <c r="G2896" t="s">
        <v>12</v>
      </c>
      <c r="H2896">
        <f>21710*(1.01^10)</f>
        <v>23981.346342677254</v>
      </c>
      <c r="I2896">
        <f>97117*(1.01^10)</f>
        <v>107277.58695355998</v>
      </c>
      <c r="J2896" t="s">
        <v>9210</v>
      </c>
      <c r="K2896">
        <f t="shared" si="45"/>
        <v>404.87845934461205</v>
      </c>
    </row>
    <row r="2897" spans="1:11" x14ac:dyDescent="0.2">
      <c r="A2897" t="s">
        <v>1340</v>
      </c>
      <c r="B2897" t="s">
        <v>9192</v>
      </c>
      <c r="C2897" t="s">
        <v>9211</v>
      </c>
      <c r="D2897" t="s">
        <v>9212</v>
      </c>
      <c r="E2897" t="s">
        <v>619</v>
      </c>
      <c r="F2897" t="s">
        <v>12</v>
      </c>
      <c r="G2897" t="s">
        <v>12</v>
      </c>
      <c r="H2897">
        <f>10607*(1.01^10)</f>
        <v>11716.726884236648</v>
      </c>
      <c r="I2897">
        <f>46936*(1.01^10)</f>
        <v>51846.544078300307</v>
      </c>
      <c r="J2897" t="s">
        <v>9213</v>
      </c>
      <c r="K2897">
        <f t="shared" si="45"/>
        <v>326.31240338348988</v>
      </c>
    </row>
    <row r="2898" spans="1:11" x14ac:dyDescent="0.2">
      <c r="A2898" t="s">
        <v>1340</v>
      </c>
      <c r="B2898" t="s">
        <v>9192</v>
      </c>
      <c r="C2898" t="s">
        <v>9214</v>
      </c>
      <c r="D2898" t="s">
        <v>9215</v>
      </c>
      <c r="E2898" t="s">
        <v>40</v>
      </c>
      <c r="F2898" t="s">
        <v>11</v>
      </c>
      <c r="G2898" t="s">
        <v>24</v>
      </c>
      <c r="H2898">
        <f>16795*(1.01^10)</f>
        <v>18552.128596281185</v>
      </c>
      <c r="I2898">
        <f>73664*(1.01^10)</f>
        <v>81370.884246290982</v>
      </c>
      <c r="J2898" t="s">
        <v>9216</v>
      </c>
      <c r="K2898">
        <f t="shared" si="45"/>
        <v>286.31840122715528</v>
      </c>
    </row>
    <row r="2899" spans="1:11" x14ac:dyDescent="0.2">
      <c r="A2899" t="s">
        <v>1340</v>
      </c>
      <c r="B2899" t="s">
        <v>9192</v>
      </c>
      <c r="C2899" t="s">
        <v>9217</v>
      </c>
      <c r="D2899" t="s">
        <v>9218</v>
      </c>
      <c r="E2899" t="s">
        <v>1002</v>
      </c>
      <c r="F2899" t="s">
        <v>11</v>
      </c>
      <c r="G2899" t="s">
        <v>24</v>
      </c>
      <c r="H2899">
        <f>16582*(1.01^10)</f>
        <v>18316.844083568598</v>
      </c>
      <c r="I2899">
        <f>68598*(1.01^10)</f>
        <v>75774.868558957824</v>
      </c>
      <c r="J2899" t="s">
        <v>9219</v>
      </c>
      <c r="K2899">
        <f t="shared" si="45"/>
        <v>296.47184590224151</v>
      </c>
    </row>
    <row r="2900" spans="1:11" x14ac:dyDescent="0.2">
      <c r="A2900" t="s">
        <v>1340</v>
      </c>
      <c r="B2900" t="s">
        <v>9192</v>
      </c>
      <c r="C2900" t="s">
        <v>9220</v>
      </c>
      <c r="D2900" t="s">
        <v>9221</v>
      </c>
      <c r="E2900" t="s">
        <v>2410</v>
      </c>
      <c r="F2900" t="s">
        <v>17</v>
      </c>
      <c r="G2900" t="s">
        <v>24</v>
      </c>
      <c r="H2900">
        <f>23630*(1.01^10)</f>
        <v>26102.220823466767</v>
      </c>
      <c r="I2900">
        <f>104824*(1.01^10)</f>
        <v>115790.90967410413</v>
      </c>
      <c r="J2900" t="s">
        <v>9222</v>
      </c>
      <c r="K2900">
        <f t="shared" si="45"/>
        <v>269.30868954605484</v>
      </c>
    </row>
    <row r="2901" spans="1:11" x14ac:dyDescent="0.2">
      <c r="A2901" t="s">
        <v>1340</v>
      </c>
      <c r="B2901" t="s">
        <v>9192</v>
      </c>
      <c r="C2901" t="s">
        <v>9223</v>
      </c>
      <c r="D2901" t="s">
        <v>9224</v>
      </c>
      <c r="E2901" t="s">
        <v>1994</v>
      </c>
      <c r="F2901" t="s">
        <v>11</v>
      </c>
      <c r="G2901" t="s">
        <v>24</v>
      </c>
      <c r="H2901">
        <f>34805*(1.01^10)</f>
        <v>38446.373074936979</v>
      </c>
      <c r="I2901">
        <f>157414*(1.01^10)</f>
        <v>173882.9872494794</v>
      </c>
      <c r="J2901" t="s">
        <v>9225</v>
      </c>
      <c r="K2901">
        <f t="shared" si="45"/>
        <v>330.81394194290249</v>
      </c>
    </row>
    <row r="2902" spans="1:11" x14ac:dyDescent="0.2">
      <c r="A2902" t="s">
        <v>1340</v>
      </c>
      <c r="B2902" t="s">
        <v>9192</v>
      </c>
      <c r="C2902" t="s">
        <v>9226</v>
      </c>
      <c r="D2902" t="s">
        <v>9227</v>
      </c>
      <c r="E2902" t="s">
        <v>1027</v>
      </c>
      <c r="F2902" t="s">
        <v>5</v>
      </c>
      <c r="G2902" t="s">
        <v>12</v>
      </c>
      <c r="H2902">
        <f>22024*(1.01^10)</f>
        <v>24328.197690056375</v>
      </c>
      <c r="I2902">
        <f>98880*(1.01^10)</f>
        <v>109225.03576065993</v>
      </c>
      <c r="J2902" t="s">
        <v>9228</v>
      </c>
      <c r="K2902">
        <f t="shared" si="45"/>
        <v>604.54955200195025</v>
      </c>
    </row>
    <row r="2903" spans="1:11" x14ac:dyDescent="0.2">
      <c r="A2903" t="s">
        <v>1340</v>
      </c>
      <c r="B2903" t="s">
        <v>9192</v>
      </c>
      <c r="C2903" t="s">
        <v>9229</v>
      </c>
      <c r="D2903" t="s">
        <v>9230</v>
      </c>
      <c r="E2903" t="s">
        <v>535</v>
      </c>
      <c r="F2903" t="s">
        <v>24</v>
      </c>
      <c r="G2903" t="s">
        <v>24</v>
      </c>
      <c r="H2903">
        <f>9760*(1.01^10)</f>
        <v>10781.111944013359</v>
      </c>
      <c r="I2903">
        <f>46056*(1.01^10)</f>
        <v>50874.476607938443</v>
      </c>
      <c r="J2903" t="s">
        <v>9231</v>
      </c>
      <c r="K2903">
        <f t="shared" si="45"/>
        <v>86.833242316213656</v>
      </c>
    </row>
    <row r="2904" spans="1:11" x14ac:dyDescent="0.2">
      <c r="A2904" t="s">
        <v>1340</v>
      </c>
      <c r="B2904" t="s">
        <v>9192</v>
      </c>
      <c r="C2904" t="s">
        <v>9232</v>
      </c>
      <c r="D2904" t="s">
        <v>9233</v>
      </c>
      <c r="E2904" t="s">
        <v>142</v>
      </c>
      <c r="F2904" t="s">
        <v>24</v>
      </c>
      <c r="G2904" t="s">
        <v>24</v>
      </c>
      <c r="H2904">
        <f>4513*(1.01^10)</f>
        <v>4985.1596519807672</v>
      </c>
      <c r="I2904">
        <f>21741*(1.01^10)</f>
        <v>24015.589628565001</v>
      </c>
      <c r="J2904" t="s">
        <v>9234</v>
      </c>
      <c r="K2904">
        <f t="shared" si="45"/>
        <v>77.460382294655375</v>
      </c>
    </row>
    <row r="2905" spans="1:11" x14ac:dyDescent="0.2">
      <c r="A2905" t="s">
        <v>1340</v>
      </c>
      <c r="B2905" t="s">
        <v>9192</v>
      </c>
      <c r="C2905" t="s">
        <v>9235</v>
      </c>
      <c r="D2905" t="s">
        <v>9236</v>
      </c>
      <c r="E2905" t="s">
        <v>759</v>
      </c>
      <c r="F2905" t="s">
        <v>92</v>
      </c>
      <c r="G2905" t="s">
        <v>24</v>
      </c>
      <c r="H2905">
        <f>21399*(1.01^10)</f>
        <v>23637.80886167437</v>
      </c>
      <c r="I2905">
        <f>95718*(1.01^10)</f>
        <v>105732.22060010969</v>
      </c>
      <c r="J2905" t="s">
        <v>9237</v>
      </c>
      <c r="K2905">
        <f t="shared" si="45"/>
        <v>122.66413259002415</v>
      </c>
    </row>
    <row r="2906" spans="1:11" x14ac:dyDescent="0.2">
      <c r="A2906" t="s">
        <v>1340</v>
      </c>
      <c r="B2906" t="s">
        <v>9192</v>
      </c>
      <c r="C2906" t="s">
        <v>9238</v>
      </c>
      <c r="D2906" t="s">
        <v>9239</v>
      </c>
      <c r="E2906" t="s">
        <v>172</v>
      </c>
      <c r="F2906" t="s">
        <v>92</v>
      </c>
      <c r="G2906" t="s">
        <v>24</v>
      </c>
      <c r="H2906">
        <f>14736*(1.01^10)</f>
        <v>16277.711640059513</v>
      </c>
      <c r="I2906">
        <f>63308*(1.01^10)</f>
        <v>69931.41751553255</v>
      </c>
      <c r="J2906" t="s">
        <v>9240</v>
      </c>
      <c r="K2906">
        <f t="shared" si="45"/>
        <v>132.83812551602981</v>
      </c>
    </row>
    <row r="2907" spans="1:11" x14ac:dyDescent="0.2">
      <c r="A2907" t="s">
        <v>1340</v>
      </c>
      <c r="B2907" t="s">
        <v>9192</v>
      </c>
      <c r="C2907" t="s">
        <v>9241</v>
      </c>
      <c r="D2907" t="s">
        <v>9242</v>
      </c>
      <c r="E2907" t="s">
        <v>761</v>
      </c>
      <c r="F2907" t="s">
        <v>24</v>
      </c>
      <c r="G2907" t="s">
        <v>24</v>
      </c>
      <c r="H2907">
        <f>24210*(1.01^10)</f>
        <v>26742.901656205267</v>
      </c>
      <c r="I2907">
        <f>107106*(1.01^10)</f>
        <v>118311.65736429249</v>
      </c>
      <c r="J2907" t="s">
        <v>9243</v>
      </c>
      <c r="K2907">
        <f t="shared" si="45"/>
        <v>172.33805980807776</v>
      </c>
    </row>
    <row r="2908" spans="1:11" x14ac:dyDescent="0.2">
      <c r="A2908" t="s">
        <v>1340</v>
      </c>
      <c r="B2908" t="s">
        <v>9192</v>
      </c>
      <c r="C2908" t="s">
        <v>9244</v>
      </c>
      <c r="D2908" t="s">
        <v>9245</v>
      </c>
      <c r="E2908" t="s">
        <v>1944</v>
      </c>
      <c r="F2908" t="s">
        <v>11</v>
      </c>
      <c r="G2908" t="s">
        <v>24</v>
      </c>
      <c r="H2908">
        <f>18674*(1.01^10)</f>
        <v>20627.713569928837</v>
      </c>
      <c r="I2908">
        <f>80711*(1.01^10)</f>
        <v>89155.156364063747</v>
      </c>
      <c r="J2908" t="s">
        <v>9246</v>
      </c>
      <c r="K2908">
        <f t="shared" si="45"/>
        <v>134.29123452017987</v>
      </c>
    </row>
    <row r="2909" spans="1:11" x14ac:dyDescent="0.2">
      <c r="A2909" t="s">
        <v>1340</v>
      </c>
      <c r="B2909" t="s">
        <v>9192</v>
      </c>
      <c r="C2909" t="s">
        <v>9247</v>
      </c>
      <c r="D2909" t="s">
        <v>9248</v>
      </c>
      <c r="E2909" t="s">
        <v>176</v>
      </c>
      <c r="F2909" t="s">
        <v>6</v>
      </c>
      <c r="G2909" t="s">
        <v>12</v>
      </c>
      <c r="H2909">
        <f>6107*(1.01^10)</f>
        <v>6745.9273198862275</v>
      </c>
      <c r="I2909">
        <f>27571*(1.01^10)</f>
        <v>30455.536619712326</v>
      </c>
      <c r="J2909" t="s">
        <v>9249</v>
      </c>
      <c r="K2909">
        <f t="shared" si="45"/>
        <v>108.11007235924345</v>
      </c>
    </row>
    <row r="2910" spans="1:11" x14ac:dyDescent="0.2">
      <c r="A2910" t="s">
        <v>1340</v>
      </c>
      <c r="B2910" t="s">
        <v>9192</v>
      </c>
      <c r="C2910" t="s">
        <v>9250</v>
      </c>
      <c r="D2910" t="s">
        <v>9251</v>
      </c>
      <c r="E2910" t="s">
        <v>1002</v>
      </c>
      <c r="F2910" t="s">
        <v>92</v>
      </c>
      <c r="G2910" t="s">
        <v>24</v>
      </c>
      <c r="H2910">
        <f>25280*(1.01^10)</f>
        <v>27924.847330395256</v>
      </c>
      <c r="I2910">
        <f>112740*(1.01^10)</f>
        <v>124535.09841885923</v>
      </c>
      <c r="J2910" t="s">
        <v>9252</v>
      </c>
      <c r="K2910">
        <f t="shared" si="45"/>
        <v>291.41715212927676</v>
      </c>
    </row>
    <row r="2911" spans="1:11" x14ac:dyDescent="0.2">
      <c r="A2911" t="s">
        <v>1340</v>
      </c>
      <c r="B2911" t="s">
        <v>9192</v>
      </c>
      <c r="C2911" t="s">
        <v>9253</v>
      </c>
      <c r="D2911" t="s">
        <v>9254</v>
      </c>
      <c r="E2911" t="s">
        <v>1549</v>
      </c>
      <c r="F2911" t="s">
        <v>24</v>
      </c>
      <c r="G2911" t="s">
        <v>12</v>
      </c>
      <c r="H2911">
        <f>27650*(1.01^10)</f>
        <v>30542.801767619811</v>
      </c>
      <c r="I2911">
        <f>124218*(1.01^10)</f>
        <v>137213.95117432903</v>
      </c>
      <c r="J2911" t="s">
        <v>9255</v>
      </c>
      <c r="K2911">
        <f t="shared" si="45"/>
        <v>392.92489722713526</v>
      </c>
    </row>
    <row r="2912" spans="1:11" x14ac:dyDescent="0.2">
      <c r="A2912" t="s">
        <v>1340</v>
      </c>
      <c r="B2912" t="s">
        <v>9192</v>
      </c>
      <c r="C2912" t="s">
        <v>9256</v>
      </c>
      <c r="D2912" t="s">
        <v>9257</v>
      </c>
      <c r="E2912" t="s">
        <v>1054</v>
      </c>
      <c r="F2912" t="s">
        <v>11</v>
      </c>
      <c r="G2912" t="s">
        <v>24</v>
      </c>
      <c r="H2912">
        <f>13780*(1.01^10)</f>
        <v>15221.692888166401</v>
      </c>
      <c r="I2912">
        <f>64244*(1.01^10)</f>
        <v>70965.343824917436</v>
      </c>
      <c r="J2912" t="s">
        <v>9258</v>
      </c>
      <c r="K2912">
        <f t="shared" si="45"/>
        <v>299.80303006844815</v>
      </c>
    </row>
    <row r="2913" spans="1:11" x14ac:dyDescent="0.2">
      <c r="A2913" t="s">
        <v>1340</v>
      </c>
      <c r="B2913" t="s">
        <v>9192</v>
      </c>
      <c r="C2913" t="s">
        <v>9259</v>
      </c>
      <c r="D2913" t="s">
        <v>9260</v>
      </c>
      <c r="E2913" t="s">
        <v>479</v>
      </c>
      <c r="F2913" t="s">
        <v>17</v>
      </c>
      <c r="G2913" t="s">
        <v>24</v>
      </c>
      <c r="H2913">
        <f>19050*(1.01^10)</f>
        <v>21043.051489083449</v>
      </c>
      <c r="I2913">
        <f>82542*(1.01^10)</f>
        <v>91177.719475691658</v>
      </c>
      <c r="J2913" t="s">
        <v>9261</v>
      </c>
      <c r="K2913">
        <f t="shared" si="45"/>
        <v>534.11812752952369</v>
      </c>
    </row>
    <row r="2914" spans="1:11" x14ac:dyDescent="0.2">
      <c r="A2914" t="s">
        <v>1340</v>
      </c>
      <c r="B2914" t="s">
        <v>9192</v>
      </c>
      <c r="C2914" t="s">
        <v>9262</v>
      </c>
      <c r="D2914" t="s">
        <v>9263</v>
      </c>
      <c r="E2914" t="s">
        <v>589</v>
      </c>
      <c r="F2914" t="s">
        <v>17</v>
      </c>
      <c r="G2914" t="s">
        <v>24</v>
      </c>
      <c r="H2914">
        <f>17761*(1.01^10)</f>
        <v>19619.193569428407</v>
      </c>
      <c r="I2914">
        <f>78693*(1.01^10)</f>
        <v>86926.028914983937</v>
      </c>
      <c r="J2914" t="s">
        <v>9264</v>
      </c>
      <c r="K2914">
        <f t="shared" si="45"/>
        <v>463.95225788026261</v>
      </c>
    </row>
    <row r="2915" spans="1:11" x14ac:dyDescent="0.2">
      <c r="A2915" t="s">
        <v>1340</v>
      </c>
      <c r="B2915" t="s">
        <v>1397</v>
      </c>
      <c r="C2915" t="s">
        <v>9265</v>
      </c>
      <c r="D2915" t="s">
        <v>9266</v>
      </c>
      <c r="E2915" t="s">
        <v>761</v>
      </c>
      <c r="F2915" t="s">
        <v>5</v>
      </c>
      <c r="G2915" t="s">
        <v>24</v>
      </c>
      <c r="H2915">
        <f>23613*(1.01^10)</f>
        <v>26083.442247334777</v>
      </c>
      <c r="I2915">
        <f>100517*(1.01^10)</f>
        <v>111033.30217995807</v>
      </c>
      <c r="J2915" t="s">
        <v>9267</v>
      </c>
      <c r="K2915">
        <f t="shared" si="45"/>
        <v>351.52694921787526</v>
      </c>
    </row>
    <row r="2916" spans="1:11" x14ac:dyDescent="0.2">
      <c r="A2916" t="s">
        <v>1340</v>
      </c>
      <c r="B2916" t="s">
        <v>1397</v>
      </c>
      <c r="C2916" t="s">
        <v>9268</v>
      </c>
      <c r="D2916" t="s">
        <v>9269</v>
      </c>
      <c r="E2916" t="s">
        <v>264</v>
      </c>
      <c r="F2916" t="s">
        <v>17</v>
      </c>
      <c r="G2916" t="s">
        <v>24</v>
      </c>
      <c r="H2916">
        <f>12942*(1.01^10)</f>
        <v>14296.019547071812</v>
      </c>
      <c r="I2916">
        <f>53231*(1.01^10)</f>
        <v>58800.140357763841</v>
      </c>
      <c r="J2916" t="s">
        <v>9270</v>
      </c>
      <c r="K2916">
        <f t="shared" si="45"/>
        <v>369.2153164504407</v>
      </c>
    </row>
    <row r="2917" spans="1:11" x14ac:dyDescent="0.2">
      <c r="A2917" t="s">
        <v>1340</v>
      </c>
      <c r="B2917" t="s">
        <v>1397</v>
      </c>
      <c r="C2917" t="s">
        <v>9271</v>
      </c>
      <c r="D2917" t="s">
        <v>9272</v>
      </c>
      <c r="E2917" t="s">
        <v>232</v>
      </c>
      <c r="F2917" t="s">
        <v>12</v>
      </c>
      <c r="G2917" t="s">
        <v>24</v>
      </c>
      <c r="H2917">
        <f>11085*(1.01^10)</f>
        <v>12244.736260183205</v>
      </c>
      <c r="I2917">
        <f>48811*(1.01^10)</f>
        <v>53917.710563446315</v>
      </c>
      <c r="J2917" t="s">
        <v>9273</v>
      </c>
      <c r="K2917">
        <f t="shared" si="45"/>
        <v>250.48878310544166</v>
      </c>
    </row>
    <row r="2918" spans="1:11" x14ac:dyDescent="0.2">
      <c r="A2918" t="s">
        <v>1340</v>
      </c>
      <c r="B2918" t="s">
        <v>1397</v>
      </c>
      <c r="C2918" t="s">
        <v>9274</v>
      </c>
      <c r="D2918" t="s">
        <v>9275</v>
      </c>
      <c r="E2918" t="s">
        <v>374</v>
      </c>
      <c r="F2918" t="s">
        <v>12</v>
      </c>
      <c r="G2918" t="s">
        <v>12</v>
      </c>
      <c r="H2918">
        <f>11553*(1.01^10)</f>
        <v>12761.699414875648</v>
      </c>
      <c r="I2918">
        <f>50798*(1.01^10)</f>
        <v>56112.594726638381</v>
      </c>
      <c r="J2918" t="s">
        <v>9276</v>
      </c>
      <c r="K2918">
        <f t="shared" si="45"/>
        <v>595.78518098215329</v>
      </c>
    </row>
    <row r="2919" spans="1:11" x14ac:dyDescent="0.2">
      <c r="A2919" t="s">
        <v>1340</v>
      </c>
      <c r="B2919" t="s">
        <v>1397</v>
      </c>
      <c r="C2919" t="s">
        <v>9277</v>
      </c>
      <c r="D2919" t="s">
        <v>9278</v>
      </c>
      <c r="E2919" t="s">
        <v>766</v>
      </c>
      <c r="F2919" t="s">
        <v>274</v>
      </c>
      <c r="G2919" t="s">
        <v>24</v>
      </c>
      <c r="H2919">
        <f>11186*(1.01^10)</f>
        <v>12356.303094849736</v>
      </c>
      <c r="I2919">
        <f>47653*(1.01^10)</f>
        <v>52638.558142220143</v>
      </c>
      <c r="J2919" t="s">
        <v>9279</v>
      </c>
      <c r="K2919">
        <f t="shared" si="45"/>
        <v>190.23039299108456</v>
      </c>
    </row>
    <row r="2920" spans="1:11" x14ac:dyDescent="0.2">
      <c r="A2920" t="s">
        <v>1340</v>
      </c>
      <c r="B2920" t="s">
        <v>1397</v>
      </c>
      <c r="C2920" t="s">
        <v>9280</v>
      </c>
      <c r="D2920" t="s">
        <v>9281</v>
      </c>
      <c r="E2920" t="s">
        <v>486</v>
      </c>
      <c r="F2920" t="s">
        <v>356</v>
      </c>
      <c r="G2920" t="s">
        <v>24</v>
      </c>
      <c r="H2920">
        <f>24182*(1.01^10)</f>
        <v>26711.972236693753</v>
      </c>
      <c r="I2920">
        <f>99794*(1.01^10)</f>
        <v>110234.66038328577</v>
      </c>
      <c r="J2920" t="s">
        <v>9282</v>
      </c>
      <c r="K2920">
        <f t="shared" si="45"/>
        <v>331.04495745603703</v>
      </c>
    </row>
    <row r="2921" spans="1:11" x14ac:dyDescent="0.2">
      <c r="A2921" t="s">
        <v>1340</v>
      </c>
      <c r="B2921" t="s">
        <v>1397</v>
      </c>
      <c r="C2921" t="s">
        <v>9283</v>
      </c>
      <c r="D2921" t="s">
        <v>9284</v>
      </c>
      <c r="E2921" t="s">
        <v>1352</v>
      </c>
      <c r="F2921" t="s">
        <v>382</v>
      </c>
      <c r="G2921" t="s">
        <v>24</v>
      </c>
      <c r="H2921">
        <f>17060*(1.01^10)</f>
        <v>18844.853459515154</v>
      </c>
      <c r="I2921">
        <f>73899*(1.01^10)</f>
        <v>81630.470445762621</v>
      </c>
      <c r="J2921" t="s">
        <v>9285</v>
      </c>
      <c r="K2921">
        <f t="shared" si="45"/>
        <v>222.65689391130496</v>
      </c>
    </row>
    <row r="2922" spans="1:11" x14ac:dyDescent="0.2">
      <c r="A2922" t="s">
        <v>1340</v>
      </c>
      <c r="B2922" t="s">
        <v>1397</v>
      </c>
      <c r="C2922" t="s">
        <v>9286</v>
      </c>
      <c r="D2922" t="s">
        <v>9287</v>
      </c>
      <c r="E2922" t="s">
        <v>315</v>
      </c>
      <c r="F2922" t="s">
        <v>11</v>
      </c>
      <c r="G2922" t="s">
        <v>24</v>
      </c>
      <c r="H2922">
        <f>18989*(1.01^10)</f>
        <v>20975.669539433366</v>
      </c>
      <c r="I2922">
        <f>81722*(1.01^10)</f>
        <v>90271.929332854474</v>
      </c>
      <c r="J2922" t="s">
        <v>9288</v>
      </c>
      <c r="K2922">
        <f t="shared" si="45"/>
        <v>357.92136650697086</v>
      </c>
    </row>
    <row r="2923" spans="1:11" x14ac:dyDescent="0.2">
      <c r="A2923" t="s">
        <v>1340</v>
      </c>
      <c r="B2923" t="s">
        <v>1397</v>
      </c>
      <c r="C2923" t="s">
        <v>9289</v>
      </c>
      <c r="D2923" t="s">
        <v>9290</v>
      </c>
      <c r="E2923" t="s">
        <v>1195</v>
      </c>
      <c r="F2923" t="s">
        <v>12</v>
      </c>
      <c r="G2923" t="s">
        <v>24</v>
      </c>
      <c r="H2923">
        <f>14204*(1.01^10)</f>
        <v>15690.052669340752</v>
      </c>
      <c r="I2923">
        <f>63890*(1.01^10)</f>
        <v>70574.307592521873</v>
      </c>
      <c r="J2923" t="s">
        <v>9291</v>
      </c>
      <c r="K2923">
        <f t="shared" si="45"/>
        <v>298.44127168596771</v>
      </c>
    </row>
    <row r="2924" spans="1:11" x14ac:dyDescent="0.2">
      <c r="A2924" t="s">
        <v>1340</v>
      </c>
      <c r="B2924" t="s">
        <v>1397</v>
      </c>
      <c r="C2924" t="s">
        <v>9292</v>
      </c>
      <c r="D2924" t="s">
        <v>9293</v>
      </c>
      <c r="E2924" t="s">
        <v>636</v>
      </c>
      <c r="F2924" t="s">
        <v>318</v>
      </c>
      <c r="G2924" t="s">
        <v>12</v>
      </c>
      <c r="H2924">
        <f>28183*(1.01^10)</f>
        <v>31131.565360463985</v>
      </c>
      <c r="I2924">
        <f>121030*(1.01^10)</f>
        <v>133692.41583851812</v>
      </c>
      <c r="J2924" t="s">
        <v>9294</v>
      </c>
      <c r="K2924">
        <f t="shared" si="45"/>
        <v>152.26059545415197</v>
      </c>
    </row>
    <row r="2925" spans="1:11" x14ac:dyDescent="0.2">
      <c r="A2925" t="s">
        <v>1340</v>
      </c>
      <c r="B2925" t="s">
        <v>1397</v>
      </c>
      <c r="C2925" t="s">
        <v>9295</v>
      </c>
      <c r="D2925" t="s">
        <v>9296</v>
      </c>
      <c r="E2925" t="s">
        <v>436</v>
      </c>
      <c r="F2925" t="s">
        <v>152</v>
      </c>
      <c r="G2925" t="s">
        <v>24</v>
      </c>
      <c r="H2925">
        <f>17971*(1.01^10)</f>
        <v>19851.164215764762</v>
      </c>
      <c r="I2925">
        <f>78209*(1.01^10)</f>
        <v>86391.391806284912</v>
      </c>
      <c r="J2925" t="s">
        <v>9297</v>
      </c>
      <c r="K2925">
        <f t="shared" si="45"/>
        <v>358.00171197638309</v>
      </c>
    </row>
    <row r="2926" spans="1:11" x14ac:dyDescent="0.2">
      <c r="A2926" t="s">
        <v>1340</v>
      </c>
      <c r="B2926" t="s">
        <v>1397</v>
      </c>
      <c r="C2926" t="s">
        <v>9298</v>
      </c>
      <c r="D2926" t="s">
        <v>9299</v>
      </c>
      <c r="E2926" t="s">
        <v>176</v>
      </c>
      <c r="F2926" t="s">
        <v>17</v>
      </c>
      <c r="G2926" t="s">
        <v>24</v>
      </c>
      <c r="H2926">
        <f>6623*(1.01^10)</f>
        <v>7315.9123365984087</v>
      </c>
      <c r="I2926">
        <f>28900*(1.01^10)</f>
        <v>31923.579424383817</v>
      </c>
      <c r="J2926" t="s">
        <v>9300</v>
      </c>
      <c r="K2926">
        <f t="shared" si="45"/>
        <v>284.87507866277645</v>
      </c>
    </row>
    <row r="2927" spans="1:11" x14ac:dyDescent="0.2">
      <c r="A2927" t="s">
        <v>1340</v>
      </c>
      <c r="B2927" t="s">
        <v>1397</v>
      </c>
      <c r="C2927" t="s">
        <v>9301</v>
      </c>
      <c r="D2927" t="s">
        <v>9302</v>
      </c>
      <c r="E2927" t="s">
        <v>2400</v>
      </c>
      <c r="F2927" t="s">
        <v>17</v>
      </c>
      <c r="G2927" t="s">
        <v>12</v>
      </c>
      <c r="H2927">
        <f>25449*(1.01^10)</f>
        <v>28111.52846958975</v>
      </c>
      <c r="I2927">
        <f>114383*(1.01^10)</f>
        <v>126349.99257090983</v>
      </c>
      <c r="J2927" t="s">
        <v>9303</v>
      </c>
      <c r="K2927">
        <f t="shared" si="45"/>
        <v>176.75008395326344</v>
      </c>
    </row>
    <row r="2928" spans="1:11" x14ac:dyDescent="0.2">
      <c r="A2928" t="s">
        <v>1340</v>
      </c>
      <c r="B2928" t="s">
        <v>1397</v>
      </c>
      <c r="C2928" t="s">
        <v>9304</v>
      </c>
      <c r="D2928" t="s">
        <v>9305</v>
      </c>
      <c r="E2928" t="s">
        <v>1303</v>
      </c>
      <c r="F2928" t="s">
        <v>12</v>
      </c>
      <c r="G2928" t="s">
        <v>24</v>
      </c>
      <c r="H2928">
        <f>12664*(1.01^10)</f>
        <v>13988.934596207497</v>
      </c>
      <c r="I2928">
        <f>57890*(1.01^10)</f>
        <v>63946.574840054644</v>
      </c>
      <c r="J2928" t="s">
        <v>9306</v>
      </c>
      <c r="K2928">
        <f t="shared" si="45"/>
        <v>103.89082036973259</v>
      </c>
    </row>
    <row r="2929" spans="1:11" x14ac:dyDescent="0.2">
      <c r="A2929" t="s">
        <v>1340</v>
      </c>
      <c r="B2929" t="s">
        <v>1397</v>
      </c>
      <c r="C2929" t="s">
        <v>9307</v>
      </c>
      <c r="D2929" t="s">
        <v>9308</v>
      </c>
      <c r="E2929" t="s">
        <v>390</v>
      </c>
      <c r="F2929" t="s">
        <v>158</v>
      </c>
      <c r="G2929" t="s">
        <v>24</v>
      </c>
      <c r="H2929">
        <f>20537*(1.01^10)</f>
        <v>22685.62458956991</v>
      </c>
      <c r="I2929">
        <f>87091*(1.01^10)</f>
        <v>96202.645524187232</v>
      </c>
      <c r="J2929" t="s">
        <v>9309</v>
      </c>
      <c r="K2929">
        <f t="shared" si="45"/>
        <v>105.91855453134777</v>
      </c>
    </row>
    <row r="2930" spans="1:11" x14ac:dyDescent="0.2">
      <c r="A2930" t="s">
        <v>1340</v>
      </c>
      <c r="B2930" t="s">
        <v>1397</v>
      </c>
      <c r="C2930" t="s">
        <v>9310</v>
      </c>
      <c r="D2930" t="s">
        <v>9311</v>
      </c>
      <c r="E2930" t="s">
        <v>405</v>
      </c>
      <c r="F2930" t="s">
        <v>17</v>
      </c>
      <c r="G2930" t="s">
        <v>24</v>
      </c>
      <c r="H2930">
        <f>1153*(1.01^10)</f>
        <v>1273.629310599119</v>
      </c>
      <c r="I2930">
        <f>5149*(1.01^10)</f>
        <v>5687.699323742293</v>
      </c>
      <c r="J2930" t="s">
        <v>9312</v>
      </c>
      <c r="K2930">
        <f t="shared" si="45"/>
        <v>504.52930484117394</v>
      </c>
    </row>
    <row r="2931" spans="1:11" x14ac:dyDescent="0.2">
      <c r="A2931" t="s">
        <v>1340</v>
      </c>
      <c r="B2931" t="s">
        <v>1397</v>
      </c>
      <c r="C2931" t="s">
        <v>9313</v>
      </c>
      <c r="D2931" t="s">
        <v>9314</v>
      </c>
      <c r="E2931" t="s">
        <v>407</v>
      </c>
      <c r="F2931" t="s">
        <v>1506</v>
      </c>
      <c r="G2931" t="s">
        <v>24</v>
      </c>
      <c r="H2931">
        <f>19827*(1.01^10)</f>
        <v>21901.342880527958</v>
      </c>
      <c r="I2931">
        <f>82810*(1.01^10)</f>
        <v>91473.75820530187</v>
      </c>
      <c r="J2931" t="s">
        <v>9315</v>
      </c>
      <c r="K2931">
        <f t="shared" si="45"/>
        <v>423.41673404914428</v>
      </c>
    </row>
    <row r="2932" spans="1:11" x14ac:dyDescent="0.2">
      <c r="A2932" t="s">
        <v>1340</v>
      </c>
      <c r="B2932" t="s">
        <v>1397</v>
      </c>
      <c r="C2932" t="s">
        <v>9316</v>
      </c>
      <c r="D2932" t="s">
        <v>9317</v>
      </c>
      <c r="E2932" t="s">
        <v>738</v>
      </c>
      <c r="F2932" t="s">
        <v>411</v>
      </c>
      <c r="G2932" t="s">
        <v>24</v>
      </c>
      <c r="H2932">
        <f>25487*(1.01^10)</f>
        <v>28153.504110355374</v>
      </c>
      <c r="I2932">
        <f>104902*(1.01^10)</f>
        <v>115877.07019988621</v>
      </c>
      <c r="J2932" t="s">
        <v>9318</v>
      </c>
      <c r="K2932">
        <f t="shared" si="45"/>
        <v>142.60346024495783</v>
      </c>
    </row>
    <row r="2933" spans="1:11" x14ac:dyDescent="0.2">
      <c r="A2933" t="s">
        <v>1340</v>
      </c>
      <c r="B2933" t="s">
        <v>1397</v>
      </c>
      <c r="C2933" t="s">
        <v>9319</v>
      </c>
      <c r="D2933" t="s">
        <v>9320</v>
      </c>
      <c r="E2933" t="s">
        <v>4</v>
      </c>
      <c r="F2933" t="s">
        <v>92</v>
      </c>
      <c r="G2933" t="s">
        <v>24</v>
      </c>
      <c r="H2933">
        <f>14791*(1.01^10)</f>
        <v>16338.465856957129</v>
      </c>
      <c r="I2933">
        <f>63390*(1.01^10)</f>
        <v>70021.996529816272</v>
      </c>
      <c r="J2933" t="s">
        <v>9321</v>
      </c>
      <c r="K2933">
        <f t="shared" si="45"/>
        <v>285.22295376745348</v>
      </c>
    </row>
    <row r="2934" spans="1:11" x14ac:dyDescent="0.2">
      <c r="A2934" t="s">
        <v>1340</v>
      </c>
      <c r="B2934" t="s">
        <v>1397</v>
      </c>
      <c r="C2934" t="s">
        <v>9322</v>
      </c>
      <c r="D2934" t="s">
        <v>9323</v>
      </c>
      <c r="E2934" t="s">
        <v>1441</v>
      </c>
      <c r="F2934" t="s">
        <v>5</v>
      </c>
      <c r="G2934" t="s">
        <v>24</v>
      </c>
      <c r="H2934">
        <f>21297*(1.01^10)</f>
        <v>23525.137404882429</v>
      </c>
      <c r="I2934">
        <f>86355*(1.01^10)</f>
        <v>95389.643639884584</v>
      </c>
      <c r="J2934" t="s">
        <v>9324</v>
      </c>
      <c r="K2934">
        <f t="shared" si="45"/>
        <v>349.19369044502866</v>
      </c>
    </row>
    <row r="2935" spans="1:11" x14ac:dyDescent="0.2">
      <c r="A2935" t="s">
        <v>1340</v>
      </c>
      <c r="B2935" t="s">
        <v>1397</v>
      </c>
      <c r="C2935" t="s">
        <v>9325</v>
      </c>
      <c r="D2935" t="s">
        <v>9326</v>
      </c>
      <c r="E2935" t="s">
        <v>1960</v>
      </c>
      <c r="F2935" t="s">
        <v>92</v>
      </c>
      <c r="G2935" t="s">
        <v>24</v>
      </c>
      <c r="H2935">
        <f>18657*(1.01^10)</f>
        <v>20608.934993796847</v>
      </c>
      <c r="I2935">
        <f>77337*(1.01^10)</f>
        <v>85428.161312926342</v>
      </c>
      <c r="J2935" t="s">
        <v>9327</v>
      </c>
      <c r="K2935">
        <f t="shared" si="45"/>
        <v>427.65235407792159</v>
      </c>
    </row>
    <row r="2936" spans="1:11" x14ac:dyDescent="0.2">
      <c r="A2936" t="s">
        <v>1340</v>
      </c>
      <c r="B2936" t="s">
        <v>1397</v>
      </c>
      <c r="C2936" t="s">
        <v>9328</v>
      </c>
      <c r="D2936" t="s">
        <v>9329</v>
      </c>
      <c r="E2936" t="s">
        <v>1401</v>
      </c>
      <c r="F2936" t="s">
        <v>458</v>
      </c>
      <c r="G2936" t="s">
        <v>24</v>
      </c>
      <c r="H2936">
        <f>21472*(1.01^10)</f>
        <v>23718.446276829389</v>
      </c>
      <c r="I2936">
        <f>96526*(1.01^10)</f>
        <v>106624.75527744195</v>
      </c>
      <c r="J2936" t="s">
        <v>9330</v>
      </c>
      <c r="K2936">
        <f t="shared" si="45"/>
        <v>503.49237746897654</v>
      </c>
    </row>
    <row r="2937" spans="1:11" x14ac:dyDescent="0.2">
      <c r="A2937" t="s">
        <v>1340</v>
      </c>
      <c r="B2937" t="s">
        <v>1397</v>
      </c>
      <c r="C2937" t="s">
        <v>9331</v>
      </c>
      <c r="D2937" t="s">
        <v>9332</v>
      </c>
      <c r="E2937" t="s">
        <v>284</v>
      </c>
      <c r="F2937" t="s">
        <v>6</v>
      </c>
      <c r="G2937" t="s">
        <v>24</v>
      </c>
      <c r="H2937">
        <f>27554*(1.01^10)</f>
        <v>30436.758043580336</v>
      </c>
      <c r="I2937">
        <f>122036*(1.01^10)</f>
        <v>134803.66569668177</v>
      </c>
      <c r="J2937" t="s">
        <v>9333</v>
      </c>
      <c r="K2937">
        <f t="shared" si="45"/>
        <v>483.63798731683733</v>
      </c>
    </row>
    <row r="2938" spans="1:11" x14ac:dyDescent="0.2">
      <c r="A2938" t="s">
        <v>1340</v>
      </c>
      <c r="B2938" t="s">
        <v>1397</v>
      </c>
      <c r="C2938" t="s">
        <v>9334</v>
      </c>
      <c r="D2938" t="s">
        <v>9335</v>
      </c>
      <c r="E2938" t="s">
        <v>2283</v>
      </c>
      <c r="F2938" t="s">
        <v>24</v>
      </c>
      <c r="G2938" t="s">
        <v>24</v>
      </c>
      <c r="H2938">
        <f>21425*(1.01^10)</f>
        <v>23666.529036935062</v>
      </c>
      <c r="I2938">
        <f>89666*(1.01^10)</f>
        <v>99047.047497121079</v>
      </c>
      <c r="J2938" t="s">
        <v>9336</v>
      </c>
      <c r="K2938">
        <f t="shared" si="45"/>
        <v>383.95291671262703</v>
      </c>
    </row>
    <row r="2939" spans="1:11" x14ac:dyDescent="0.2">
      <c r="A2939" t="s">
        <v>1340</v>
      </c>
      <c r="B2939" t="s">
        <v>1397</v>
      </c>
      <c r="C2939" t="s">
        <v>9337</v>
      </c>
      <c r="D2939" t="s">
        <v>9338</v>
      </c>
      <c r="E2939" t="s">
        <v>811</v>
      </c>
      <c r="F2939" t="s">
        <v>382</v>
      </c>
      <c r="G2939" t="s">
        <v>24</v>
      </c>
      <c r="H2939">
        <f>31957*(1.01^10)</f>
        <v>35300.409261765868</v>
      </c>
      <c r="I2939">
        <f>132580*(1.01^10)</f>
        <v>146450.80138701753</v>
      </c>
      <c r="J2939" t="s">
        <v>9339</v>
      </c>
      <c r="K2939">
        <f t="shared" si="45"/>
        <v>391.96745814580612</v>
      </c>
    </row>
    <row r="2940" spans="1:11" x14ac:dyDescent="0.2">
      <c r="A2940" t="s">
        <v>1340</v>
      </c>
      <c r="B2940" t="s">
        <v>1397</v>
      </c>
      <c r="C2940" t="s">
        <v>9340</v>
      </c>
      <c r="D2940" t="s">
        <v>9341</v>
      </c>
      <c r="E2940" t="s">
        <v>1258</v>
      </c>
      <c r="F2940" t="s">
        <v>158</v>
      </c>
      <c r="G2940" t="s">
        <v>24</v>
      </c>
      <c r="H2940">
        <f>29834*(1.01^10)</f>
        <v>32955.296489517881</v>
      </c>
      <c r="I2940">
        <f>123616*(1.01^10)</f>
        <v>136548.96865483149</v>
      </c>
      <c r="J2940" t="s">
        <v>9342</v>
      </c>
      <c r="K2940">
        <f t="shared" si="45"/>
        <v>468.53957547808693</v>
      </c>
    </row>
    <row r="2941" spans="1:11" x14ac:dyDescent="0.2">
      <c r="A2941" t="s">
        <v>1340</v>
      </c>
      <c r="B2941" t="s">
        <v>1397</v>
      </c>
      <c r="C2941" t="s">
        <v>9343</v>
      </c>
      <c r="D2941" t="s">
        <v>9344</v>
      </c>
      <c r="E2941" t="s">
        <v>479</v>
      </c>
      <c r="F2941" t="s">
        <v>17</v>
      </c>
      <c r="G2941" t="s">
        <v>12</v>
      </c>
      <c r="H2941">
        <f>25502*(1.01^10)</f>
        <v>28170.073442236542</v>
      </c>
      <c r="I2941">
        <f>110104*(1.01^10)</f>
        <v>121623.31449627528</v>
      </c>
      <c r="J2941" t="s">
        <v>9345</v>
      </c>
      <c r="K2941">
        <f t="shared" si="45"/>
        <v>231.52233780605206</v>
      </c>
    </row>
    <row r="2942" spans="1:11" x14ac:dyDescent="0.2">
      <c r="A2942" t="s">
        <v>1340</v>
      </c>
      <c r="B2942" t="s">
        <v>1397</v>
      </c>
      <c r="C2942" t="s">
        <v>9346</v>
      </c>
      <c r="D2942" t="s">
        <v>9347</v>
      </c>
      <c r="E2942" t="s">
        <v>1223</v>
      </c>
      <c r="F2942" t="s">
        <v>24</v>
      </c>
      <c r="G2942" t="s">
        <v>24</v>
      </c>
      <c r="H2942">
        <f>18728*(1.01^10)</f>
        <v>20687.363164701044</v>
      </c>
      <c r="I2942">
        <f>76427*(1.01^10)</f>
        <v>84422.955178802149</v>
      </c>
      <c r="J2942" t="s">
        <v>9348</v>
      </c>
      <c r="K2942">
        <f t="shared" si="45"/>
        <v>512.19830401060187</v>
      </c>
    </row>
    <row r="2943" spans="1:11" x14ac:dyDescent="0.2">
      <c r="A2943" t="s">
        <v>1340</v>
      </c>
      <c r="B2943" t="s">
        <v>1397</v>
      </c>
      <c r="C2943" t="s">
        <v>9349</v>
      </c>
      <c r="D2943" t="s">
        <v>9350</v>
      </c>
      <c r="E2943" t="s">
        <v>612</v>
      </c>
      <c r="F2943" t="s">
        <v>24</v>
      </c>
      <c r="G2943" t="s">
        <v>24</v>
      </c>
      <c r="H2943">
        <f>16034*(1.01^10)</f>
        <v>17711.511158843256</v>
      </c>
      <c r="I2943">
        <f>77369*(1.01^10)</f>
        <v>85463.509220939493</v>
      </c>
      <c r="J2943" t="s">
        <v>9351</v>
      </c>
      <c r="K2943">
        <f t="shared" si="45"/>
        <v>206.046354749675</v>
      </c>
    </row>
    <row r="2944" spans="1:11" x14ac:dyDescent="0.2">
      <c r="A2944" t="s">
        <v>1340</v>
      </c>
      <c r="B2944" t="s">
        <v>1397</v>
      </c>
      <c r="C2944" t="s">
        <v>9352</v>
      </c>
      <c r="D2944" t="s">
        <v>9353</v>
      </c>
      <c r="E2944" t="s">
        <v>425</v>
      </c>
      <c r="F2944" t="s">
        <v>24</v>
      </c>
      <c r="G2944" t="s">
        <v>24</v>
      </c>
      <c r="H2944">
        <f>9943*(1.01^10)</f>
        <v>10983.257792963608</v>
      </c>
      <c r="I2944">
        <f>46804*(1.01^10)</f>
        <v>51700.73395774603</v>
      </c>
      <c r="J2944" t="s">
        <v>9354</v>
      </c>
      <c r="K2944">
        <f t="shared" si="45"/>
        <v>135.37674603280857</v>
      </c>
    </row>
    <row r="2945" spans="1:11" x14ac:dyDescent="0.2">
      <c r="A2945" t="s">
        <v>1340</v>
      </c>
      <c r="B2945" t="s">
        <v>1397</v>
      </c>
      <c r="C2945" t="s">
        <v>9355</v>
      </c>
      <c r="D2945" t="s">
        <v>9356</v>
      </c>
      <c r="E2945" t="s">
        <v>24</v>
      </c>
      <c r="F2945" t="s">
        <v>24</v>
      </c>
      <c r="G2945" t="s">
        <v>12</v>
      </c>
      <c r="H2945">
        <f>26351*(1.01^10)</f>
        <v>29107.897626710655</v>
      </c>
      <c r="I2945">
        <f>116849*(1.01^10)</f>
        <v>129073.99073217386</v>
      </c>
      <c r="J2945" t="s">
        <v>9357</v>
      </c>
      <c r="K2945">
        <f t="shared" si="45"/>
        <v>3251.2340234804497</v>
      </c>
    </row>
    <row r="2946" spans="1:11" x14ac:dyDescent="0.2">
      <c r="A2946" t="s">
        <v>1340</v>
      </c>
      <c r="B2946" t="s">
        <v>1737</v>
      </c>
      <c r="C2946" t="s">
        <v>9358</v>
      </c>
      <c r="D2946" t="s">
        <v>9359</v>
      </c>
      <c r="E2946" t="s">
        <v>232</v>
      </c>
      <c r="F2946" t="s">
        <v>382</v>
      </c>
      <c r="G2946" t="s">
        <v>24</v>
      </c>
      <c r="H2946">
        <f>18674*(1.01^10)</f>
        <v>20627.713569928837</v>
      </c>
      <c r="I2946">
        <f>80472*(1.01^10)</f>
        <v>88891.151676090463</v>
      </c>
      <c r="J2946" t="s">
        <v>9360</v>
      </c>
      <c r="K2946">
        <f t="shared" si="45"/>
        <v>466.4471431603825</v>
      </c>
    </row>
    <row r="2947" spans="1:11" x14ac:dyDescent="0.2">
      <c r="A2947" t="s">
        <v>1340</v>
      </c>
      <c r="B2947" t="s">
        <v>1737</v>
      </c>
      <c r="C2947" t="s">
        <v>9361</v>
      </c>
      <c r="D2947" t="s">
        <v>9362</v>
      </c>
      <c r="E2947" t="s">
        <v>2162</v>
      </c>
      <c r="F2947" t="s">
        <v>1506</v>
      </c>
      <c r="G2947" t="s">
        <v>12</v>
      </c>
      <c r="H2947">
        <f>32997*(1.01^10)</f>
        <v>36449.216272193524</v>
      </c>
      <c r="I2947">
        <f>149170*(1.01^10)</f>
        <v>164776.4824475894</v>
      </c>
      <c r="J2947" t="s">
        <v>9363</v>
      </c>
      <c r="K2947">
        <f t="shared" ref="K2947:K3010" si="46">I2947/J2947</f>
        <v>832.99031794489281</v>
      </c>
    </row>
    <row r="2948" spans="1:11" x14ac:dyDescent="0.2">
      <c r="A2948" t="s">
        <v>1340</v>
      </c>
      <c r="B2948" t="s">
        <v>1737</v>
      </c>
      <c r="C2948" t="s">
        <v>9364</v>
      </c>
      <c r="D2948" t="s">
        <v>9365</v>
      </c>
      <c r="E2948" t="s">
        <v>493</v>
      </c>
      <c r="F2948" t="s">
        <v>108</v>
      </c>
      <c r="G2948" t="s">
        <v>24</v>
      </c>
      <c r="H2948">
        <f>43912*(1.01^10)</f>
        <v>48506.166771056822</v>
      </c>
      <c r="I2948">
        <f>188559*(1.01^10)</f>
        <v>208286.44334541136</v>
      </c>
      <c r="J2948" t="s">
        <v>9366</v>
      </c>
      <c r="K2948">
        <f t="shared" si="46"/>
        <v>938.3445356276228</v>
      </c>
    </row>
    <row r="2949" spans="1:11" x14ac:dyDescent="0.2">
      <c r="A2949" t="s">
        <v>1340</v>
      </c>
      <c r="B2949" t="s">
        <v>1737</v>
      </c>
      <c r="C2949" t="s">
        <v>9367</v>
      </c>
      <c r="D2949" t="s">
        <v>9368</v>
      </c>
      <c r="E2949" t="s">
        <v>40</v>
      </c>
      <c r="F2949" t="s">
        <v>108</v>
      </c>
      <c r="G2949" t="s">
        <v>24</v>
      </c>
      <c r="H2949">
        <f>22637*(1.01^10)</f>
        <v>25005.331052933441</v>
      </c>
      <c r="I2949">
        <f>96162*(1.01^10)</f>
        <v>106222.67282379227</v>
      </c>
      <c r="J2949" t="s">
        <v>9369</v>
      </c>
      <c r="K2949">
        <f t="shared" si="46"/>
        <v>871.6386988239351</v>
      </c>
    </row>
    <row r="2950" spans="1:11" x14ac:dyDescent="0.2">
      <c r="A2950" t="s">
        <v>1340</v>
      </c>
      <c r="B2950" t="s">
        <v>1737</v>
      </c>
      <c r="C2950" t="s">
        <v>9370</v>
      </c>
      <c r="D2950" t="s">
        <v>9371</v>
      </c>
      <c r="E2950" t="s">
        <v>806</v>
      </c>
      <c r="F2950" t="s">
        <v>789</v>
      </c>
      <c r="G2950" t="s">
        <v>24</v>
      </c>
      <c r="H2950">
        <f>37186*(1.01^10)</f>
        <v>41076.478355541061</v>
      </c>
      <c r="I2950">
        <f>169958*(1.01^10)</f>
        <v>187739.36719063754</v>
      </c>
      <c r="J2950" t="s">
        <v>9372</v>
      </c>
      <c r="K2950">
        <f t="shared" si="46"/>
        <v>931.45959284107323</v>
      </c>
    </row>
    <row r="2951" spans="1:11" x14ac:dyDescent="0.2">
      <c r="A2951" t="s">
        <v>1340</v>
      </c>
      <c r="B2951" t="s">
        <v>1737</v>
      </c>
      <c r="C2951" t="s">
        <v>9373</v>
      </c>
      <c r="D2951" t="s">
        <v>9374</v>
      </c>
      <c r="E2951" t="s">
        <v>2777</v>
      </c>
      <c r="F2951" t="s">
        <v>458</v>
      </c>
      <c r="G2951" t="s">
        <v>24</v>
      </c>
      <c r="H2951">
        <f>30559*(1.01^10)</f>
        <v>33756.147530441005</v>
      </c>
      <c r="I2951">
        <f>134178*(1.01^10)</f>
        <v>148215.98754342462</v>
      </c>
      <c r="J2951" t="s">
        <v>9375</v>
      </c>
      <c r="K2951">
        <f t="shared" si="46"/>
        <v>1127.848507882944</v>
      </c>
    </row>
    <row r="2952" spans="1:11" x14ac:dyDescent="0.2">
      <c r="A2952" t="s">
        <v>1340</v>
      </c>
      <c r="B2952" t="s">
        <v>1737</v>
      </c>
      <c r="C2952" t="s">
        <v>9376</v>
      </c>
      <c r="D2952" t="s">
        <v>9377</v>
      </c>
      <c r="E2952" t="s">
        <v>1946</v>
      </c>
      <c r="F2952" t="s">
        <v>3122</v>
      </c>
      <c r="G2952" t="s">
        <v>24</v>
      </c>
      <c r="H2952">
        <f>35550*(1.01^10)</f>
        <v>39269.316558368329</v>
      </c>
      <c r="I2952">
        <f>151915*(1.01^10)</f>
        <v>167808.67018184316</v>
      </c>
      <c r="J2952" t="s">
        <v>9378</v>
      </c>
      <c r="K2952">
        <f t="shared" si="46"/>
        <v>516.91460575050939</v>
      </c>
    </row>
    <row r="2953" spans="1:11" x14ac:dyDescent="0.2">
      <c r="A2953" t="s">
        <v>1340</v>
      </c>
      <c r="B2953" t="s">
        <v>1737</v>
      </c>
      <c r="C2953" t="s">
        <v>9379</v>
      </c>
      <c r="D2953" t="s">
        <v>9380</v>
      </c>
      <c r="E2953" t="s">
        <v>56</v>
      </c>
      <c r="F2953" t="s">
        <v>5</v>
      </c>
      <c r="G2953" t="s">
        <v>24</v>
      </c>
      <c r="H2953">
        <f>5510*(1.01^10)</f>
        <v>6086.4679110157385</v>
      </c>
      <c r="I2953">
        <f>25189*(1.01^10)</f>
        <v>27824.326716982836</v>
      </c>
      <c r="J2953" t="s">
        <v>9381</v>
      </c>
      <c r="K2953">
        <f t="shared" si="46"/>
        <v>697.14576414374835</v>
      </c>
    </row>
    <row r="2954" spans="1:11" x14ac:dyDescent="0.2">
      <c r="A2954" t="s">
        <v>1340</v>
      </c>
      <c r="B2954" t="s">
        <v>1737</v>
      </c>
      <c r="C2954" t="s">
        <v>9382</v>
      </c>
      <c r="D2954" t="s">
        <v>9383</v>
      </c>
      <c r="E2954" t="s">
        <v>5142</v>
      </c>
      <c r="F2954" t="s">
        <v>411</v>
      </c>
      <c r="G2954" t="s">
        <v>24</v>
      </c>
      <c r="H2954">
        <f>41782*(1.01^10)</f>
        <v>46153.321643930954</v>
      </c>
      <c r="I2954">
        <f>179092*(1.01^10)</f>
        <v>197828.98568414347</v>
      </c>
      <c r="J2954" t="s">
        <v>9384</v>
      </c>
      <c r="K2954">
        <f t="shared" si="46"/>
        <v>623.33864474948314</v>
      </c>
    </row>
    <row r="2955" spans="1:11" x14ac:dyDescent="0.2">
      <c r="A2955" t="s">
        <v>1340</v>
      </c>
      <c r="B2955" t="s">
        <v>1737</v>
      </c>
      <c r="C2955" t="s">
        <v>9385</v>
      </c>
      <c r="D2955" t="s">
        <v>9386</v>
      </c>
      <c r="E2955" t="s">
        <v>152</v>
      </c>
      <c r="F2955" t="s">
        <v>24</v>
      </c>
      <c r="G2955" t="s">
        <v>24</v>
      </c>
      <c r="H2955">
        <f>2420*(1.01^10)</f>
        <v>2673.1855434951153</v>
      </c>
      <c r="I2955">
        <f>10233*(1.01^10)</f>
        <v>11303.598209332858</v>
      </c>
      <c r="J2955" t="s">
        <v>9387</v>
      </c>
      <c r="K2955">
        <f t="shared" si="46"/>
        <v>868.87163376563501</v>
      </c>
    </row>
    <row r="2956" spans="1:11" x14ac:dyDescent="0.2">
      <c r="A2956" t="s">
        <v>1340</v>
      </c>
      <c r="B2956" t="s">
        <v>1737</v>
      </c>
      <c r="C2956" t="s">
        <v>9388</v>
      </c>
      <c r="D2956" t="s">
        <v>9389</v>
      </c>
      <c r="E2956" t="s">
        <v>427</v>
      </c>
      <c r="F2956" t="s">
        <v>12</v>
      </c>
      <c r="G2956" t="s">
        <v>24</v>
      </c>
      <c r="H2956">
        <f>8773*(1.01^10)</f>
        <v>9690.8499062324991</v>
      </c>
      <c r="I2956">
        <f>40588*(1.01^10)</f>
        <v>44834.40282618998</v>
      </c>
      <c r="J2956" t="s">
        <v>9390</v>
      </c>
      <c r="K2956">
        <f t="shared" si="46"/>
        <v>654.44258236809139</v>
      </c>
    </row>
    <row r="2957" spans="1:11" x14ac:dyDescent="0.2">
      <c r="A2957" t="s">
        <v>1340</v>
      </c>
      <c r="B2957" t="s">
        <v>1737</v>
      </c>
      <c r="C2957" t="s">
        <v>9391</v>
      </c>
      <c r="D2957" t="s">
        <v>9392</v>
      </c>
      <c r="E2957" t="s">
        <v>11</v>
      </c>
      <c r="F2957" t="s">
        <v>24</v>
      </c>
      <c r="G2957" t="s">
        <v>24</v>
      </c>
      <c r="H2957">
        <f>1124*(1.01^10)</f>
        <v>1241.595268962194</v>
      </c>
      <c r="I2957">
        <f>5237*(1.01^10)</f>
        <v>5784.9060707784793</v>
      </c>
      <c r="J2957" t="s">
        <v>9393</v>
      </c>
      <c r="K2957">
        <f t="shared" si="46"/>
        <v>237.51002220074173</v>
      </c>
    </row>
    <row r="2958" spans="1:11" x14ac:dyDescent="0.2">
      <c r="A2958" t="s">
        <v>1340</v>
      </c>
      <c r="B2958" t="s">
        <v>1737</v>
      </c>
      <c r="C2958" t="s">
        <v>9394</v>
      </c>
      <c r="D2958" t="s">
        <v>9395</v>
      </c>
      <c r="E2958" t="s">
        <v>422</v>
      </c>
      <c r="F2958" t="s">
        <v>158</v>
      </c>
      <c r="G2958" t="s">
        <v>24</v>
      </c>
      <c r="H2958">
        <f>2470*(1.01^10)</f>
        <v>2728.4166497656756</v>
      </c>
      <c r="I2958">
        <f>11287*(1.01^10)</f>
        <v>12467.869929516268</v>
      </c>
      <c r="J2958" t="s">
        <v>9396</v>
      </c>
      <c r="K2958">
        <f t="shared" si="46"/>
        <v>354.78225966418063</v>
      </c>
    </row>
    <row r="2959" spans="1:11" x14ac:dyDescent="0.2">
      <c r="A2959" t="s">
        <v>1340</v>
      </c>
      <c r="B2959" t="s">
        <v>1737</v>
      </c>
      <c r="C2959" t="s">
        <v>9397</v>
      </c>
      <c r="D2959" t="s">
        <v>9398</v>
      </c>
      <c r="E2959" t="s">
        <v>489</v>
      </c>
      <c r="F2959" t="s">
        <v>56</v>
      </c>
      <c r="G2959" t="s">
        <v>12</v>
      </c>
      <c r="H2959">
        <f>21597*(1.01^10)</f>
        <v>23856.524042505789</v>
      </c>
      <c r="I2959">
        <f>91668*(1.01^10)</f>
        <v>101258.50099219431</v>
      </c>
      <c r="J2959" t="s">
        <v>9399</v>
      </c>
      <c r="K2959">
        <f t="shared" si="46"/>
        <v>778.83954440878188</v>
      </c>
    </row>
    <row r="2960" spans="1:11" x14ac:dyDescent="0.2">
      <c r="A2960" t="s">
        <v>1340</v>
      </c>
      <c r="B2960" t="s">
        <v>1737</v>
      </c>
      <c r="C2960" t="s">
        <v>9400</v>
      </c>
      <c r="D2960" t="s">
        <v>9401</v>
      </c>
      <c r="E2960" t="s">
        <v>1525</v>
      </c>
      <c r="F2960" t="s">
        <v>158</v>
      </c>
      <c r="G2960" t="s">
        <v>12</v>
      </c>
      <c r="H2960">
        <f>31939*(1.01^10)</f>
        <v>35280.526063508471</v>
      </c>
      <c r="I2960">
        <f>132168*(1.01^10)</f>
        <v>145995.69707134811</v>
      </c>
      <c r="J2960" t="s">
        <v>9402</v>
      </c>
      <c r="K2960">
        <f t="shared" si="46"/>
        <v>560.28334388094527</v>
      </c>
    </row>
    <row r="2961" spans="1:11" x14ac:dyDescent="0.2">
      <c r="A2961" t="s">
        <v>1340</v>
      </c>
      <c r="B2961" t="s">
        <v>1737</v>
      </c>
      <c r="C2961" t="s">
        <v>9403</v>
      </c>
      <c r="D2961" t="s">
        <v>9404</v>
      </c>
      <c r="E2961" t="s">
        <v>535</v>
      </c>
      <c r="F2961" t="s">
        <v>158</v>
      </c>
      <c r="G2961" t="s">
        <v>24</v>
      </c>
      <c r="H2961">
        <f>14043*(1.01^10)</f>
        <v>15512.208507149548</v>
      </c>
      <c r="I2961">
        <f>57614*(1.01^10)</f>
        <v>63641.69913344115</v>
      </c>
      <c r="J2961" t="s">
        <v>9405</v>
      </c>
      <c r="K2961">
        <f t="shared" si="46"/>
        <v>269.50200444632645</v>
      </c>
    </row>
    <row r="2962" spans="1:11" x14ac:dyDescent="0.2">
      <c r="A2962" t="s">
        <v>1340</v>
      </c>
      <c r="B2962" t="s">
        <v>1737</v>
      </c>
      <c r="C2962" t="s">
        <v>9406</v>
      </c>
      <c r="D2962" t="s">
        <v>9407</v>
      </c>
      <c r="E2962" t="s">
        <v>1054</v>
      </c>
      <c r="F2962" t="s">
        <v>11</v>
      </c>
      <c r="G2962" t="s">
        <v>24</v>
      </c>
      <c r="H2962">
        <f>8948*(1.01^10)</f>
        <v>9884.1587781794606</v>
      </c>
      <c r="I2962">
        <f>39759*(1.01^10)</f>
        <v>43918.671084224086</v>
      </c>
      <c r="J2962" t="s">
        <v>9408</v>
      </c>
      <c r="K2962">
        <f t="shared" si="46"/>
        <v>236.58619840987262</v>
      </c>
    </row>
    <row r="2963" spans="1:11" x14ac:dyDescent="0.2">
      <c r="A2963" t="s">
        <v>1340</v>
      </c>
      <c r="B2963" t="s">
        <v>1737</v>
      </c>
      <c r="C2963" t="s">
        <v>9409</v>
      </c>
      <c r="D2963" t="s">
        <v>9410</v>
      </c>
      <c r="E2963" t="s">
        <v>743</v>
      </c>
      <c r="F2963" t="s">
        <v>318</v>
      </c>
      <c r="G2963" t="s">
        <v>24</v>
      </c>
      <c r="H2963">
        <f>32402*(1.01^10)</f>
        <v>35791.966107573855</v>
      </c>
      <c r="I2963">
        <f>139777*(1.01^10)</f>
        <v>154400.76682360197</v>
      </c>
      <c r="J2963" t="s">
        <v>9411</v>
      </c>
      <c r="K2963">
        <f t="shared" si="46"/>
        <v>575.71120775046313</v>
      </c>
    </row>
    <row r="2964" spans="1:11" x14ac:dyDescent="0.2">
      <c r="A2964" t="s">
        <v>1340</v>
      </c>
      <c r="B2964" t="s">
        <v>1737</v>
      </c>
      <c r="C2964" t="s">
        <v>9412</v>
      </c>
      <c r="D2964" t="s">
        <v>9413</v>
      </c>
      <c r="E2964" t="s">
        <v>1378</v>
      </c>
      <c r="F2964" t="s">
        <v>422</v>
      </c>
      <c r="G2964" t="s">
        <v>12</v>
      </c>
      <c r="H2964">
        <f>73114*(1.01^10)</f>
        <v>80763.342077314825</v>
      </c>
      <c r="I2964">
        <f>311507*(1.01^10)</f>
        <v>344097.52442046814</v>
      </c>
      <c r="J2964" t="s">
        <v>9414</v>
      </c>
      <c r="K2964">
        <f t="shared" si="46"/>
        <v>672.63165985290607</v>
      </c>
    </row>
    <row r="2965" spans="1:11" x14ac:dyDescent="0.2">
      <c r="A2965" t="s">
        <v>1340</v>
      </c>
      <c r="B2965" t="s">
        <v>1737</v>
      </c>
      <c r="C2965" t="s">
        <v>9415</v>
      </c>
      <c r="D2965" t="s">
        <v>9416</v>
      </c>
      <c r="E2965" t="s">
        <v>651</v>
      </c>
      <c r="F2965" t="s">
        <v>405</v>
      </c>
      <c r="G2965" t="s">
        <v>24</v>
      </c>
      <c r="H2965">
        <f>35679*(1.01^10)</f>
        <v>39411.812812546377</v>
      </c>
      <c r="I2965">
        <f>161623*(1.01^10)</f>
        <v>178532.34177533514</v>
      </c>
      <c r="J2965" t="s">
        <v>9417</v>
      </c>
      <c r="K2965">
        <f t="shared" si="46"/>
        <v>620.94191729612749</v>
      </c>
    </row>
    <row r="2966" spans="1:11" x14ac:dyDescent="0.2">
      <c r="A2966" t="s">
        <v>1340</v>
      </c>
      <c r="B2966" t="s">
        <v>1737</v>
      </c>
      <c r="C2966" t="s">
        <v>9418</v>
      </c>
      <c r="D2966" t="s">
        <v>9419</v>
      </c>
      <c r="E2966" t="s">
        <v>24</v>
      </c>
      <c r="F2966" t="s">
        <v>24</v>
      </c>
      <c r="G2966" t="s">
        <v>12</v>
      </c>
      <c r="H2966">
        <f>31685*(1.01^10)</f>
        <v>34999.952043654019</v>
      </c>
      <c r="I2966">
        <f>144373*(1.01^10)</f>
        <v>159477.61011199187</v>
      </c>
      <c r="J2966" t="s">
        <v>9420</v>
      </c>
      <c r="K2966">
        <f t="shared" si="46"/>
        <v>4171.5304763796048</v>
      </c>
    </row>
    <row r="2967" spans="1:11" x14ac:dyDescent="0.2">
      <c r="A2967" t="s">
        <v>1340</v>
      </c>
      <c r="B2967" t="s">
        <v>1324</v>
      </c>
      <c r="C2967" t="s">
        <v>9421</v>
      </c>
      <c r="D2967" t="s">
        <v>9422</v>
      </c>
      <c r="E2967" t="s">
        <v>1106</v>
      </c>
      <c r="F2967" t="s">
        <v>12</v>
      </c>
      <c r="G2967" t="s">
        <v>24</v>
      </c>
      <c r="H2967">
        <f>12260*(1.01^10)</f>
        <v>13542.66725754137</v>
      </c>
      <c r="I2967">
        <f>58238*(1.01^10)</f>
        <v>64330.983339697741</v>
      </c>
      <c r="J2967" t="s">
        <v>9423</v>
      </c>
      <c r="K2967">
        <f t="shared" si="46"/>
        <v>678.36339714071619</v>
      </c>
    </row>
    <row r="2968" spans="1:11" x14ac:dyDescent="0.2">
      <c r="A2968" t="s">
        <v>1340</v>
      </c>
      <c r="B2968" t="s">
        <v>1324</v>
      </c>
      <c r="C2968" t="s">
        <v>9424</v>
      </c>
      <c r="D2968" t="s">
        <v>9425</v>
      </c>
      <c r="E2968" t="s">
        <v>1223</v>
      </c>
      <c r="F2968" t="s">
        <v>5</v>
      </c>
      <c r="G2968" t="s">
        <v>24</v>
      </c>
      <c r="H2968">
        <f>13741*(1.01^10)</f>
        <v>15178.612625275364</v>
      </c>
      <c r="I2968">
        <f>63463*(1.01^10)</f>
        <v>70102.633944971283</v>
      </c>
      <c r="J2968" t="s">
        <v>9426</v>
      </c>
      <c r="K2968">
        <f t="shared" si="46"/>
        <v>652.8191801135556</v>
      </c>
    </row>
    <row r="2969" spans="1:11" x14ac:dyDescent="0.2">
      <c r="A2969" t="s">
        <v>1340</v>
      </c>
      <c r="B2969" t="s">
        <v>1324</v>
      </c>
      <c r="C2969" t="s">
        <v>9427</v>
      </c>
      <c r="D2969" t="s">
        <v>9428</v>
      </c>
      <c r="E2969" t="s">
        <v>771</v>
      </c>
      <c r="F2969" t="s">
        <v>405</v>
      </c>
      <c r="G2969" t="s">
        <v>24</v>
      </c>
      <c r="H2969">
        <f>24529*(1.01^10)</f>
        <v>27095.27611421144</v>
      </c>
      <c r="I2969">
        <f>110429*(1.01^10)</f>
        <v>121982.31668703393</v>
      </c>
      <c r="J2969" t="s">
        <v>9429</v>
      </c>
      <c r="K2969">
        <f t="shared" si="46"/>
        <v>465.93751619019139</v>
      </c>
    </row>
    <row r="2970" spans="1:11" x14ac:dyDescent="0.2">
      <c r="A2970" t="s">
        <v>1340</v>
      </c>
      <c r="B2970" t="s">
        <v>1324</v>
      </c>
      <c r="C2970" t="s">
        <v>9430</v>
      </c>
      <c r="D2970" t="s">
        <v>9431</v>
      </c>
      <c r="E2970" t="s">
        <v>1617</v>
      </c>
      <c r="F2970" t="s">
        <v>744</v>
      </c>
      <c r="G2970" t="s">
        <v>12</v>
      </c>
      <c r="H2970">
        <f>24011*(1.01^10)</f>
        <v>26523.081853248437</v>
      </c>
      <c r="I2970">
        <f>119385*(1.01^10)</f>
        <v>131875.31244221667</v>
      </c>
      <c r="J2970" t="s">
        <v>9432</v>
      </c>
      <c r="K2970">
        <f t="shared" si="46"/>
        <v>853.51884083581319</v>
      </c>
    </row>
    <row r="2971" spans="1:11" x14ac:dyDescent="0.2">
      <c r="A2971" t="s">
        <v>1340</v>
      </c>
      <c r="B2971" t="s">
        <v>1324</v>
      </c>
      <c r="C2971" t="s">
        <v>9433</v>
      </c>
      <c r="D2971" t="s">
        <v>9434</v>
      </c>
      <c r="E2971" t="s">
        <v>1115</v>
      </c>
      <c r="F2971" t="s">
        <v>11</v>
      </c>
      <c r="G2971" t="s">
        <v>17</v>
      </c>
      <c r="H2971">
        <f>71157*(1.01^10)</f>
        <v>78601.596577885095</v>
      </c>
      <c r="I2971">
        <f>355439*(1.01^10)</f>
        <v>392625.78363403323</v>
      </c>
      <c r="J2971" t="s">
        <v>9435</v>
      </c>
      <c r="K2971">
        <f t="shared" si="46"/>
        <v>1048.4892975667692</v>
      </c>
    </row>
    <row r="2972" spans="1:11" x14ac:dyDescent="0.2">
      <c r="A2972" t="s">
        <v>1340</v>
      </c>
      <c r="B2972" t="s">
        <v>1324</v>
      </c>
      <c r="C2972" t="s">
        <v>9436</v>
      </c>
      <c r="D2972" t="s">
        <v>9437</v>
      </c>
      <c r="E2972" t="s">
        <v>287</v>
      </c>
      <c r="F2972" t="s">
        <v>11</v>
      </c>
      <c r="G2972" t="s">
        <v>12</v>
      </c>
      <c r="H2972">
        <f>35469*(1.01^10)</f>
        <v>39179.842166210023</v>
      </c>
      <c r="I2972">
        <f>161509*(1.01^10)</f>
        <v>178406.41485303827</v>
      </c>
      <c r="J2972" t="s">
        <v>9438</v>
      </c>
      <c r="K2972">
        <f t="shared" si="46"/>
        <v>756.16651944785929</v>
      </c>
    </row>
    <row r="2973" spans="1:11" x14ac:dyDescent="0.2">
      <c r="A2973" t="s">
        <v>1340</v>
      </c>
      <c r="B2973" t="s">
        <v>1324</v>
      </c>
      <c r="C2973" t="s">
        <v>9439</v>
      </c>
      <c r="D2973" t="s">
        <v>9440</v>
      </c>
      <c r="E2973" t="s">
        <v>253</v>
      </c>
      <c r="F2973" t="s">
        <v>92</v>
      </c>
      <c r="G2973" t="s">
        <v>24</v>
      </c>
      <c r="H2973">
        <f>17454*(1.01^10)</f>
        <v>19280.074576927167</v>
      </c>
      <c r="I2973">
        <f>91289*(1.01^10)</f>
        <v>100839.84920666346</v>
      </c>
      <c r="J2973" t="s">
        <v>9441</v>
      </c>
      <c r="K2973">
        <f t="shared" si="46"/>
        <v>507.07481960310662</v>
      </c>
    </row>
    <row r="2974" spans="1:11" x14ac:dyDescent="0.2">
      <c r="A2974" t="s">
        <v>1340</v>
      </c>
      <c r="B2974" t="s">
        <v>1324</v>
      </c>
      <c r="C2974" t="s">
        <v>9442</v>
      </c>
      <c r="D2974" t="s">
        <v>9443</v>
      </c>
      <c r="E2974" t="s">
        <v>1140</v>
      </c>
      <c r="F2974" t="s">
        <v>6</v>
      </c>
      <c r="G2974" t="s">
        <v>24</v>
      </c>
      <c r="H2974">
        <f>39460*(1.01^10)</f>
        <v>43588.389068726137</v>
      </c>
      <c r="I2974">
        <f>195003*(1.01^10)</f>
        <v>215404.62832156115</v>
      </c>
      <c r="J2974" t="s">
        <v>9444</v>
      </c>
      <c r="K2974">
        <f t="shared" si="46"/>
        <v>721.79951526697221</v>
      </c>
    </row>
    <row r="2975" spans="1:11" x14ac:dyDescent="0.2">
      <c r="A2975" t="s">
        <v>1340</v>
      </c>
      <c r="B2975" t="s">
        <v>1324</v>
      </c>
      <c r="C2975" t="s">
        <v>9445</v>
      </c>
      <c r="D2975" t="s">
        <v>9446</v>
      </c>
      <c r="E2975" t="s">
        <v>253</v>
      </c>
      <c r="F2975" t="s">
        <v>17</v>
      </c>
      <c r="G2975" t="s">
        <v>24</v>
      </c>
      <c r="H2975">
        <f>24383*(1.01^10)</f>
        <v>26934.001283901405</v>
      </c>
      <c r="I2975">
        <f>121894*(1.01^10)</f>
        <v>134646.8093548734</v>
      </c>
      <c r="J2975" t="s">
        <v>9447</v>
      </c>
      <c r="K2975">
        <f t="shared" si="46"/>
        <v>590.558190350475</v>
      </c>
    </row>
    <row r="2976" spans="1:11" x14ac:dyDescent="0.2">
      <c r="A2976" t="s">
        <v>1340</v>
      </c>
      <c r="B2976" t="s">
        <v>1324</v>
      </c>
      <c r="C2976" t="s">
        <v>9448</v>
      </c>
      <c r="D2976" t="s">
        <v>9449</v>
      </c>
      <c r="E2976" t="s">
        <v>489</v>
      </c>
      <c r="F2976" t="s">
        <v>92</v>
      </c>
      <c r="G2976" t="s">
        <v>24</v>
      </c>
      <c r="H2976">
        <f>19286*(1.01^10)</f>
        <v>21303.742310680496</v>
      </c>
      <c r="I2976">
        <f>100905*(1.01^10)</f>
        <v>111461.89556461762</v>
      </c>
      <c r="J2976" t="s">
        <v>9450</v>
      </c>
      <c r="K2976">
        <f t="shared" si="46"/>
        <v>480.80526079046581</v>
      </c>
    </row>
    <row r="2977" spans="1:11" x14ac:dyDescent="0.2">
      <c r="A2977" t="s">
        <v>1340</v>
      </c>
      <c r="B2977" t="s">
        <v>1324</v>
      </c>
      <c r="C2977" t="s">
        <v>9451</v>
      </c>
      <c r="D2977" t="s">
        <v>9452</v>
      </c>
      <c r="E2977" t="s">
        <v>2949</v>
      </c>
      <c r="F2977" t="s">
        <v>458</v>
      </c>
      <c r="G2977" t="s">
        <v>24</v>
      </c>
      <c r="H2977">
        <f>23810*(1.01^10)</f>
        <v>26301.052806040785</v>
      </c>
      <c r="I2977">
        <f>124708*(1.01^10)</f>
        <v>137755.21601578052</v>
      </c>
      <c r="J2977" t="s">
        <v>9453</v>
      </c>
      <c r="K2977">
        <f t="shared" si="46"/>
        <v>442.97264488303432</v>
      </c>
    </row>
    <row r="2978" spans="1:11" x14ac:dyDescent="0.2">
      <c r="A2978" t="s">
        <v>1340</v>
      </c>
      <c r="B2978" t="s">
        <v>1324</v>
      </c>
      <c r="C2978" t="s">
        <v>9454</v>
      </c>
      <c r="D2978" t="s">
        <v>9455</v>
      </c>
      <c r="E2978" t="s">
        <v>11</v>
      </c>
      <c r="F2978" t="s">
        <v>24</v>
      </c>
      <c r="G2978" t="s">
        <v>24</v>
      </c>
      <c r="H2978">
        <f>773*(1.01^10)</f>
        <v>853.87290294286129</v>
      </c>
      <c r="I2978">
        <f>4075*(1.01^10)</f>
        <v>4501.3351610506597</v>
      </c>
      <c r="J2978" t="s">
        <v>9456</v>
      </c>
      <c r="K2978">
        <f t="shared" si="46"/>
        <v>564.2716368163176</v>
      </c>
    </row>
    <row r="2979" spans="1:11" x14ac:dyDescent="0.2">
      <c r="A2979" t="s">
        <v>1340</v>
      </c>
      <c r="B2979" t="s">
        <v>946</v>
      </c>
      <c r="C2979" t="s">
        <v>9457</v>
      </c>
      <c r="D2979" t="s">
        <v>9458</v>
      </c>
      <c r="E2979" t="s">
        <v>540</v>
      </c>
      <c r="F2979" t="s">
        <v>382</v>
      </c>
      <c r="G2979" t="s">
        <v>24</v>
      </c>
      <c r="H2979">
        <f>31182*(1.01^10)</f>
        <v>34444.327114572188</v>
      </c>
      <c r="I2979">
        <f>140807*(1.01^10)</f>
        <v>155538.52761277551</v>
      </c>
      <c r="J2979" t="s">
        <v>9459</v>
      </c>
      <c r="K2979">
        <f t="shared" si="46"/>
        <v>539.05644886429684</v>
      </c>
    </row>
    <row r="2980" spans="1:11" x14ac:dyDescent="0.2">
      <c r="A2980" t="s">
        <v>1340</v>
      </c>
      <c r="B2980" t="s">
        <v>946</v>
      </c>
      <c r="C2980" t="s">
        <v>9460</v>
      </c>
      <c r="D2980" t="s">
        <v>9461</v>
      </c>
      <c r="E2980" t="s">
        <v>1900</v>
      </c>
      <c r="F2980" t="s">
        <v>619</v>
      </c>
      <c r="G2980" t="s">
        <v>24</v>
      </c>
      <c r="H2980">
        <f>33724*(1.01^10)</f>
        <v>37252.27655736747</v>
      </c>
      <c r="I2980">
        <f>163450*(1.01^10)</f>
        <v>180550.48639846142</v>
      </c>
      <c r="J2980" t="s">
        <v>9462</v>
      </c>
      <c r="K2980">
        <f t="shared" si="46"/>
        <v>318.7340409067906</v>
      </c>
    </row>
    <row r="2981" spans="1:11" x14ac:dyDescent="0.2">
      <c r="A2981" t="s">
        <v>1340</v>
      </c>
      <c r="B2981" t="s">
        <v>946</v>
      </c>
      <c r="C2981" t="s">
        <v>9463</v>
      </c>
      <c r="D2981" t="s">
        <v>9464</v>
      </c>
      <c r="E2981" t="s">
        <v>411</v>
      </c>
      <c r="F2981" t="s">
        <v>5</v>
      </c>
      <c r="G2981" t="s">
        <v>24</v>
      </c>
      <c r="H2981">
        <f>6228*(1.01^10)</f>
        <v>6879.586597060983</v>
      </c>
      <c r="I2981">
        <f>29491*(1.01^10)</f>
        <v>32576.411100501839</v>
      </c>
      <c r="J2981" t="s">
        <v>9465</v>
      </c>
      <c r="K2981">
        <f t="shared" si="46"/>
        <v>689.45623385379042</v>
      </c>
    </row>
    <row r="2982" spans="1:11" x14ac:dyDescent="0.2">
      <c r="A2982" t="s">
        <v>1340</v>
      </c>
      <c r="B2982" t="s">
        <v>946</v>
      </c>
      <c r="C2982" t="s">
        <v>9466</v>
      </c>
      <c r="D2982" t="s">
        <v>9467</v>
      </c>
      <c r="E2982" t="s">
        <v>282</v>
      </c>
      <c r="F2982" t="s">
        <v>158</v>
      </c>
      <c r="G2982" t="s">
        <v>24</v>
      </c>
      <c r="H2982">
        <f>30721*(1.01^10)</f>
        <v>33935.096314757619</v>
      </c>
      <c r="I2982">
        <f>137800*(1.01^10)</f>
        <v>152216.928881664</v>
      </c>
      <c r="J2982" t="s">
        <v>9468</v>
      </c>
      <c r="K2982">
        <f t="shared" si="46"/>
        <v>726.77379413681842</v>
      </c>
    </row>
    <row r="2983" spans="1:11" x14ac:dyDescent="0.2">
      <c r="A2983" t="s">
        <v>1340</v>
      </c>
      <c r="B2983" t="s">
        <v>946</v>
      </c>
      <c r="C2983" t="s">
        <v>9469</v>
      </c>
      <c r="D2983" t="s">
        <v>9470</v>
      </c>
      <c r="E2983" t="s">
        <v>1140</v>
      </c>
      <c r="F2983" t="s">
        <v>92</v>
      </c>
      <c r="G2983" t="s">
        <v>12</v>
      </c>
      <c r="H2983">
        <f>46635*(1.01^10)</f>
        <v>51514.052818551536</v>
      </c>
      <c r="I2983">
        <f>219063*(1.01^10)</f>
        <v>241981.83665895474</v>
      </c>
      <c r="J2983" t="s">
        <v>9471</v>
      </c>
      <c r="K2983">
        <f t="shared" si="46"/>
        <v>775.99705964686837</v>
      </c>
    </row>
    <row r="2984" spans="1:11" x14ac:dyDescent="0.2">
      <c r="A2984" t="s">
        <v>1340</v>
      </c>
      <c r="B2984" t="s">
        <v>946</v>
      </c>
      <c r="C2984" t="s">
        <v>9472</v>
      </c>
      <c r="D2984" t="s">
        <v>9473</v>
      </c>
      <c r="E2984" t="s">
        <v>24</v>
      </c>
      <c r="F2984" t="s">
        <v>24</v>
      </c>
      <c r="G2984" t="s">
        <v>12</v>
      </c>
      <c r="H2984">
        <f>8892*(1.01^10)</f>
        <v>9822.2999391564317</v>
      </c>
      <c r="I2984">
        <f>47006*(1.01^10)</f>
        <v>51923.867627079089</v>
      </c>
      <c r="J2984" t="s">
        <v>9474</v>
      </c>
      <c r="K2984">
        <f t="shared" si="46"/>
        <v>4821.1576255412338</v>
      </c>
    </row>
    <row r="2985" spans="1:11" x14ac:dyDescent="0.2">
      <c r="A2985" t="s">
        <v>1340</v>
      </c>
      <c r="B2985" t="s">
        <v>946</v>
      </c>
      <c r="C2985" t="s">
        <v>9475</v>
      </c>
      <c r="D2985" t="s">
        <v>9476</v>
      </c>
      <c r="E2985" t="s">
        <v>631</v>
      </c>
      <c r="F2985" t="s">
        <v>6</v>
      </c>
      <c r="G2985" t="s">
        <v>24</v>
      </c>
      <c r="H2985">
        <f>36905*(1.01^10)</f>
        <v>40766.07953830051</v>
      </c>
      <c r="I2985">
        <f>158985*(1.01^10)</f>
        <v>175618.34860850038</v>
      </c>
      <c r="J2985" t="s">
        <v>9477</v>
      </c>
      <c r="K2985">
        <f t="shared" si="46"/>
        <v>695.76620818707806</v>
      </c>
    </row>
    <row r="2986" spans="1:11" x14ac:dyDescent="0.2">
      <c r="A2986" t="s">
        <v>1340</v>
      </c>
      <c r="B2986" t="s">
        <v>946</v>
      </c>
      <c r="C2986" t="s">
        <v>9478</v>
      </c>
      <c r="D2986" t="s">
        <v>9479</v>
      </c>
      <c r="E2986" t="s">
        <v>3122</v>
      </c>
      <c r="F2986" t="s">
        <v>12</v>
      </c>
      <c r="G2986" t="s">
        <v>24</v>
      </c>
      <c r="H2986">
        <f>15611*(1.01^10)</f>
        <v>17244.255999794317</v>
      </c>
      <c r="I2986">
        <f>67946*(1.01^10)</f>
        <v>75054.654933189711</v>
      </c>
      <c r="J2986" t="s">
        <v>9480</v>
      </c>
      <c r="K2986">
        <f t="shared" si="46"/>
        <v>766.29208883588433</v>
      </c>
    </row>
    <row r="2987" spans="1:11" x14ac:dyDescent="0.2">
      <c r="A2987" t="s">
        <v>1340</v>
      </c>
      <c r="B2987" t="s">
        <v>946</v>
      </c>
      <c r="C2987" t="s">
        <v>9481</v>
      </c>
      <c r="D2987" t="s">
        <v>9482</v>
      </c>
      <c r="E2987" t="s">
        <v>1060</v>
      </c>
      <c r="F2987" t="s">
        <v>11</v>
      </c>
      <c r="G2987" t="s">
        <v>24</v>
      </c>
      <c r="H2987">
        <f>16195*(1.01^10)</f>
        <v>17889.355321034462</v>
      </c>
      <c r="I2987">
        <f>65909*(1.01^10)</f>
        <v>72804.53966372709</v>
      </c>
      <c r="J2987" t="s">
        <v>9483</v>
      </c>
      <c r="K2987">
        <f t="shared" si="46"/>
        <v>720.39578326868354</v>
      </c>
    </row>
    <row r="2988" spans="1:11" x14ac:dyDescent="0.2">
      <c r="A2988" t="s">
        <v>1340</v>
      </c>
      <c r="B2988" t="s">
        <v>946</v>
      </c>
      <c r="C2988" t="s">
        <v>9484</v>
      </c>
      <c r="D2988" t="s">
        <v>9485</v>
      </c>
      <c r="E2988" t="s">
        <v>2603</v>
      </c>
      <c r="F2988" t="s">
        <v>92</v>
      </c>
      <c r="G2988" t="s">
        <v>24</v>
      </c>
      <c r="H2988">
        <f>42898*(1.01^10)</f>
        <v>47386.079935889858</v>
      </c>
      <c r="I2988">
        <f>177324*(1.01^10)</f>
        <v>195876.01376641646</v>
      </c>
      <c r="J2988" t="s">
        <v>9486</v>
      </c>
      <c r="K2988">
        <f t="shared" si="46"/>
        <v>843.1226534329794</v>
      </c>
    </row>
    <row r="2989" spans="1:11" x14ac:dyDescent="0.2">
      <c r="A2989" t="s">
        <v>1340</v>
      </c>
      <c r="B2989" t="s">
        <v>946</v>
      </c>
      <c r="C2989" t="s">
        <v>9487</v>
      </c>
      <c r="D2989" t="s">
        <v>9488</v>
      </c>
      <c r="E2989" t="s">
        <v>394</v>
      </c>
      <c r="F2989" t="s">
        <v>382</v>
      </c>
      <c r="G2989" t="s">
        <v>24</v>
      </c>
      <c r="H2989">
        <f>24732*(1.01^10)</f>
        <v>27319.514405669917</v>
      </c>
      <c r="I2989">
        <f>108163*(1.01^10)</f>
        <v>119479.24295085215</v>
      </c>
      <c r="J2989" t="s">
        <v>9489</v>
      </c>
      <c r="K2989">
        <f t="shared" si="46"/>
        <v>681.82892380926125</v>
      </c>
    </row>
    <row r="2990" spans="1:11" x14ac:dyDescent="0.2">
      <c r="A2990" t="s">
        <v>1340</v>
      </c>
      <c r="B2990" t="s">
        <v>946</v>
      </c>
      <c r="C2990" t="s">
        <v>9490</v>
      </c>
      <c r="D2990" t="s">
        <v>9491</v>
      </c>
      <c r="E2990" t="s">
        <v>386</v>
      </c>
      <c r="F2990" t="s">
        <v>726</v>
      </c>
      <c r="G2990" t="s">
        <v>24</v>
      </c>
      <c r="H2990">
        <f>28211*(1.01^10)</f>
        <v>31162.494779975495</v>
      </c>
      <c r="I2990">
        <f>124417*(1.01^10)</f>
        <v>137433.77097728587</v>
      </c>
      <c r="J2990" t="s">
        <v>9492</v>
      </c>
      <c r="K2990">
        <f t="shared" si="46"/>
        <v>391.84744597240342</v>
      </c>
    </row>
    <row r="2991" spans="1:11" x14ac:dyDescent="0.2">
      <c r="A2991" t="s">
        <v>1340</v>
      </c>
      <c r="B2991" t="s">
        <v>1459</v>
      </c>
      <c r="C2991" t="s">
        <v>9493</v>
      </c>
      <c r="D2991" t="s">
        <v>9494</v>
      </c>
      <c r="E2991" t="s">
        <v>17</v>
      </c>
      <c r="F2991" t="s">
        <v>5</v>
      </c>
      <c r="G2991" t="s">
        <v>12</v>
      </c>
      <c r="H2991">
        <f>18345*(1.01^10)</f>
        <v>20264.292890668552</v>
      </c>
      <c r="I2991">
        <f>71637*(1.01^10)</f>
        <v>79131.815198082477</v>
      </c>
      <c r="J2991" t="s">
        <v>9495</v>
      </c>
      <c r="K2991">
        <f t="shared" si="46"/>
        <v>2679.8714369257814</v>
      </c>
    </row>
    <row r="2992" spans="1:11" x14ac:dyDescent="0.2">
      <c r="A2992" t="s">
        <v>1340</v>
      </c>
      <c r="B2992" t="s">
        <v>1459</v>
      </c>
      <c r="C2992" t="s">
        <v>9496</v>
      </c>
      <c r="D2992" t="s">
        <v>9497</v>
      </c>
      <c r="E2992" t="s">
        <v>726</v>
      </c>
      <c r="F2992" t="s">
        <v>5</v>
      </c>
      <c r="G2992" t="s">
        <v>12</v>
      </c>
      <c r="H2992">
        <f>8257*(1.01^10)</f>
        <v>9120.8648895203169</v>
      </c>
      <c r="I2992">
        <f>39766*(1.01^10)</f>
        <v>43926.403439101967</v>
      </c>
      <c r="J2992" t="s">
        <v>9498</v>
      </c>
      <c r="K2992">
        <f t="shared" si="46"/>
        <v>1017.2764456376352</v>
      </c>
    </row>
    <row r="2993" spans="1:11" x14ac:dyDescent="0.2">
      <c r="A2993" t="s">
        <v>1340</v>
      </c>
      <c r="B2993" t="s">
        <v>1459</v>
      </c>
      <c r="C2993" t="s">
        <v>9499</v>
      </c>
      <c r="D2993" t="s">
        <v>9500</v>
      </c>
      <c r="E2993" t="s">
        <v>1002</v>
      </c>
      <c r="F2993" t="s">
        <v>108</v>
      </c>
      <c r="G2993" t="s">
        <v>24</v>
      </c>
      <c r="H2993">
        <f>24152*(1.01^10)</f>
        <v>26678.833572931417</v>
      </c>
      <c r="I2993">
        <f>108944*(1.01^10)</f>
        <v>120341.95283079828</v>
      </c>
      <c r="J2993" t="s">
        <v>9501</v>
      </c>
      <c r="K2993">
        <f t="shared" si="46"/>
        <v>808.38206100654202</v>
      </c>
    </row>
    <row r="2994" spans="1:11" x14ac:dyDescent="0.2">
      <c r="A2994" t="s">
        <v>1340</v>
      </c>
      <c r="B2994" t="s">
        <v>1459</v>
      </c>
      <c r="C2994" t="s">
        <v>9502</v>
      </c>
      <c r="D2994" t="s">
        <v>9503</v>
      </c>
      <c r="E2994" t="s">
        <v>274</v>
      </c>
      <c r="F2994" t="s">
        <v>744</v>
      </c>
      <c r="G2994" t="s">
        <v>24</v>
      </c>
      <c r="H2994">
        <f>5165*(1.01^10)</f>
        <v>5705.3732777488722</v>
      </c>
      <c r="I2994">
        <f>23588*(1.01^10)</f>
        <v>26055.826694199499</v>
      </c>
      <c r="J2994" t="s">
        <v>9504</v>
      </c>
      <c r="K2994">
        <f t="shared" si="46"/>
        <v>372.40586816680042</v>
      </c>
    </row>
    <row r="2995" spans="1:11" x14ac:dyDescent="0.2">
      <c r="A2995" t="s">
        <v>1340</v>
      </c>
      <c r="B2995" t="s">
        <v>1459</v>
      </c>
      <c r="C2995" t="s">
        <v>9505</v>
      </c>
      <c r="D2995" t="s">
        <v>9506</v>
      </c>
      <c r="E2995" t="s">
        <v>2949</v>
      </c>
      <c r="F2995" t="s">
        <v>6</v>
      </c>
      <c r="G2995" t="s">
        <v>24</v>
      </c>
      <c r="H2995">
        <f>24834*(1.01^10)</f>
        <v>27432.185862461858</v>
      </c>
      <c r="I2995">
        <f>106896*(1.01^10)</f>
        <v>118079.68671795614</v>
      </c>
      <c r="J2995" t="s">
        <v>9507</v>
      </c>
      <c r="K2995">
        <f t="shared" si="46"/>
        <v>478.00549822510402</v>
      </c>
    </row>
    <row r="2996" spans="1:11" x14ac:dyDescent="0.2">
      <c r="A2996" t="s">
        <v>1340</v>
      </c>
      <c r="B2996" t="s">
        <v>1459</v>
      </c>
      <c r="C2996" t="s">
        <v>9508</v>
      </c>
      <c r="D2996" t="s">
        <v>9509</v>
      </c>
      <c r="E2996" t="s">
        <v>63</v>
      </c>
      <c r="F2996" t="s">
        <v>6</v>
      </c>
      <c r="G2996" t="s">
        <v>12</v>
      </c>
      <c r="H2996">
        <f>48523*(1.01^10)</f>
        <v>53599.57939132789</v>
      </c>
      <c r="I2996">
        <f>215866*(1.01^10)</f>
        <v>238450.35972401511</v>
      </c>
      <c r="J2996" t="s">
        <v>9510</v>
      </c>
      <c r="K2996">
        <f t="shared" si="46"/>
        <v>819.71482946981416</v>
      </c>
    </row>
    <row r="2997" spans="1:11" x14ac:dyDescent="0.2">
      <c r="A2997" t="s">
        <v>1340</v>
      </c>
      <c r="B2997" t="s">
        <v>1459</v>
      </c>
      <c r="C2997" t="s">
        <v>9511</v>
      </c>
      <c r="D2997" t="s">
        <v>9512</v>
      </c>
      <c r="E2997" t="s">
        <v>2726</v>
      </c>
      <c r="F2997" t="s">
        <v>405</v>
      </c>
      <c r="G2997" t="s">
        <v>12</v>
      </c>
      <c r="H2997">
        <f>55744*(1.01^10)</f>
        <v>61576.055758922201</v>
      </c>
      <c r="I2997">
        <f>244570*(1.01^10)</f>
        <v>270157.43321181834</v>
      </c>
      <c r="J2997" t="s">
        <v>9513</v>
      </c>
      <c r="K2997">
        <f t="shared" si="46"/>
        <v>978.35215238156695</v>
      </c>
    </row>
    <row r="2998" spans="1:11" x14ac:dyDescent="0.2">
      <c r="A2998" t="s">
        <v>1340</v>
      </c>
      <c r="B2998" t="s">
        <v>1459</v>
      </c>
      <c r="C2998" t="s">
        <v>9514</v>
      </c>
      <c r="D2998" t="s">
        <v>9515</v>
      </c>
      <c r="E2998" t="s">
        <v>410</v>
      </c>
      <c r="F2998" t="s">
        <v>12</v>
      </c>
      <c r="G2998" t="s">
        <v>24</v>
      </c>
      <c r="H2998">
        <f>19553*(1.01^10)</f>
        <v>21598.676418165287</v>
      </c>
      <c r="I2998">
        <f>82795*(1.01^10)</f>
        <v>91457.188873420702</v>
      </c>
      <c r="J2998" t="s">
        <v>9516</v>
      </c>
      <c r="K2998">
        <f t="shared" si="46"/>
        <v>758.12602750796816</v>
      </c>
    </row>
    <row r="2999" spans="1:11" x14ac:dyDescent="0.2">
      <c r="A2999" t="s">
        <v>1340</v>
      </c>
      <c r="B2999" t="s">
        <v>1459</v>
      </c>
      <c r="C2999" t="s">
        <v>9517</v>
      </c>
      <c r="D2999" t="s">
        <v>9518</v>
      </c>
      <c r="E2999" t="s">
        <v>337</v>
      </c>
      <c r="F2999" t="s">
        <v>5</v>
      </c>
      <c r="G2999" t="s">
        <v>24</v>
      </c>
      <c r="H2999">
        <f>18961*(1.01^10)</f>
        <v>20944.740119921855</v>
      </c>
      <c r="I2999">
        <f>78016*(1.01^10)</f>
        <v>86178.199736080554</v>
      </c>
      <c r="J2999" t="s">
        <v>9519</v>
      </c>
      <c r="K2999">
        <f t="shared" si="46"/>
        <v>608.44113743390892</v>
      </c>
    </row>
    <row r="3000" spans="1:11" x14ac:dyDescent="0.2">
      <c r="A3000" t="s">
        <v>1340</v>
      </c>
      <c r="B3000" t="s">
        <v>1459</v>
      </c>
      <c r="C3000" t="s">
        <v>9520</v>
      </c>
      <c r="D3000" t="s">
        <v>9521</v>
      </c>
      <c r="E3000" t="s">
        <v>139</v>
      </c>
      <c r="F3000" t="s">
        <v>382</v>
      </c>
      <c r="G3000" t="s">
        <v>24</v>
      </c>
      <c r="H3000">
        <f>37773*(1.01^10)</f>
        <v>41724.891543157435</v>
      </c>
      <c r="I3000">
        <f>164893*(1.01^10)</f>
        <v>182144.45612542977</v>
      </c>
      <c r="J3000" t="s">
        <v>9522</v>
      </c>
      <c r="K3000">
        <f t="shared" si="46"/>
        <v>606.88781551416889</v>
      </c>
    </row>
    <row r="3001" spans="1:11" x14ac:dyDescent="0.2">
      <c r="A3001" t="s">
        <v>1340</v>
      </c>
      <c r="B3001" t="s">
        <v>447</v>
      </c>
      <c r="C3001" t="s">
        <v>9523</v>
      </c>
      <c r="D3001" t="s">
        <v>9524</v>
      </c>
      <c r="E3001" t="s">
        <v>467</v>
      </c>
      <c r="F3001" t="s">
        <v>458</v>
      </c>
      <c r="G3001" t="s">
        <v>24</v>
      </c>
      <c r="H3001">
        <f>22487*(1.01^10)</f>
        <v>24839.637734121759</v>
      </c>
      <c r="I3001">
        <f>97624*(1.01^10)</f>
        <v>107837.63037114346</v>
      </c>
      <c r="J3001" t="s">
        <v>9525</v>
      </c>
      <c r="K3001">
        <f t="shared" si="46"/>
        <v>228.79905817105865</v>
      </c>
    </row>
    <row r="3002" spans="1:11" x14ac:dyDescent="0.2">
      <c r="A3002" t="s">
        <v>1340</v>
      </c>
      <c r="B3002" t="s">
        <v>447</v>
      </c>
      <c r="C3002" t="s">
        <v>9526</v>
      </c>
      <c r="D3002" t="s">
        <v>3170</v>
      </c>
      <c r="E3002" t="s">
        <v>537</v>
      </c>
      <c r="F3002" t="s">
        <v>744</v>
      </c>
      <c r="G3002" t="s">
        <v>24</v>
      </c>
      <c r="H3002">
        <f>13640*(1.01^10)</f>
        <v>15067.045790608832</v>
      </c>
      <c r="I3002">
        <f>59577*(1.01^10)</f>
        <v>65810.072365623346</v>
      </c>
      <c r="J3002" t="s">
        <v>9527</v>
      </c>
      <c r="K3002">
        <f t="shared" si="46"/>
        <v>368.06528168693143</v>
      </c>
    </row>
    <row r="3003" spans="1:11" x14ac:dyDescent="0.2">
      <c r="A3003" t="s">
        <v>1340</v>
      </c>
      <c r="B3003" t="s">
        <v>447</v>
      </c>
      <c r="C3003" t="s">
        <v>9528</v>
      </c>
      <c r="D3003" t="s">
        <v>9529</v>
      </c>
      <c r="E3003" t="s">
        <v>58</v>
      </c>
      <c r="F3003" t="s">
        <v>11</v>
      </c>
      <c r="G3003" t="s">
        <v>12</v>
      </c>
      <c r="H3003">
        <f>35641*(1.01^10)</f>
        <v>39369.837171780746</v>
      </c>
      <c r="I3003">
        <f>149793*(1.01^10)</f>
        <v>165464.6620317206</v>
      </c>
      <c r="J3003" t="s">
        <v>9530</v>
      </c>
      <c r="K3003">
        <f t="shared" si="46"/>
        <v>444.6986096473708</v>
      </c>
    </row>
    <row r="3004" spans="1:11" x14ac:dyDescent="0.2">
      <c r="A3004" t="s">
        <v>1340</v>
      </c>
      <c r="B3004" t="s">
        <v>447</v>
      </c>
      <c r="C3004" t="s">
        <v>9531</v>
      </c>
      <c r="D3004" t="s">
        <v>9532</v>
      </c>
      <c r="E3004" t="s">
        <v>164</v>
      </c>
      <c r="F3004" t="s">
        <v>5</v>
      </c>
      <c r="G3004" t="s">
        <v>24</v>
      </c>
      <c r="H3004">
        <f>12125*(1.01^10)</f>
        <v>13393.543270610857</v>
      </c>
      <c r="I3004">
        <f>55250*(1.01^10)</f>
        <v>61030.372428969065</v>
      </c>
      <c r="J3004" t="s">
        <v>9533</v>
      </c>
      <c r="K3004">
        <f t="shared" si="46"/>
        <v>577.49318690089081</v>
      </c>
    </row>
    <row r="3005" spans="1:11" x14ac:dyDescent="0.2">
      <c r="A3005" t="s">
        <v>1340</v>
      </c>
      <c r="B3005" t="s">
        <v>447</v>
      </c>
      <c r="C3005" t="s">
        <v>9534</v>
      </c>
      <c r="D3005" t="s">
        <v>9535</v>
      </c>
      <c r="E3005" t="s">
        <v>1387</v>
      </c>
      <c r="F3005" t="s">
        <v>744</v>
      </c>
      <c r="G3005" t="s">
        <v>12</v>
      </c>
      <c r="H3005">
        <f>40960*(1.01^10)</f>
        <v>45245.322256842948</v>
      </c>
      <c r="I3005">
        <f>176567*(1.01^10)</f>
        <v>195039.81481748019</v>
      </c>
      <c r="J3005" t="s">
        <v>9536</v>
      </c>
      <c r="K3005">
        <f t="shared" si="46"/>
        <v>505.48419276373454</v>
      </c>
    </row>
    <row r="3006" spans="1:11" x14ac:dyDescent="0.2">
      <c r="A3006" t="s">
        <v>1340</v>
      </c>
      <c r="B3006" t="s">
        <v>447</v>
      </c>
      <c r="C3006" t="s">
        <v>9537</v>
      </c>
      <c r="D3006" t="s">
        <v>9538</v>
      </c>
      <c r="E3006" t="s">
        <v>764</v>
      </c>
      <c r="F3006" t="s">
        <v>17</v>
      </c>
      <c r="G3006" t="s">
        <v>12</v>
      </c>
      <c r="H3006">
        <f>16519*(1.01^10)</f>
        <v>18247.252889667692</v>
      </c>
      <c r="I3006">
        <f>74639*(1.01^10)</f>
        <v>82447.890818566913</v>
      </c>
      <c r="J3006" t="s">
        <v>9539</v>
      </c>
      <c r="K3006">
        <f t="shared" si="46"/>
        <v>546.88960883792925</v>
      </c>
    </row>
    <row r="3007" spans="1:11" x14ac:dyDescent="0.2">
      <c r="A3007" t="s">
        <v>1340</v>
      </c>
      <c r="B3007" t="s">
        <v>447</v>
      </c>
      <c r="C3007" t="s">
        <v>9540</v>
      </c>
      <c r="D3007" t="s">
        <v>9541</v>
      </c>
      <c r="E3007" t="s">
        <v>1060</v>
      </c>
      <c r="F3007" t="s">
        <v>405</v>
      </c>
      <c r="G3007" t="s">
        <v>12</v>
      </c>
      <c r="H3007">
        <f>19308*(1.01^10)</f>
        <v>21328.043997439541</v>
      </c>
      <c r="I3007">
        <f>89132*(1.01^10)</f>
        <v>98457.179282151497</v>
      </c>
      <c r="J3007" t="s">
        <v>9542</v>
      </c>
      <c r="K3007">
        <f t="shared" si="46"/>
        <v>629.56828329318034</v>
      </c>
    </row>
    <row r="3008" spans="1:11" x14ac:dyDescent="0.2">
      <c r="A3008" t="s">
        <v>1340</v>
      </c>
      <c r="B3008" t="s">
        <v>447</v>
      </c>
      <c r="C3008" t="s">
        <v>9543</v>
      </c>
      <c r="D3008" t="s">
        <v>9544</v>
      </c>
      <c r="E3008" t="s">
        <v>796</v>
      </c>
      <c r="F3008" t="s">
        <v>17</v>
      </c>
      <c r="G3008" t="s">
        <v>17</v>
      </c>
      <c r="H3008">
        <f>8997*(1.01^10)</f>
        <v>9938.285262324609</v>
      </c>
      <c r="I3008">
        <f>42545*(1.01^10)</f>
        <v>46996.148325619703</v>
      </c>
      <c r="J3008" t="s">
        <v>9545</v>
      </c>
      <c r="K3008">
        <f t="shared" si="46"/>
        <v>668.78196509478482</v>
      </c>
    </row>
    <row r="3009" spans="1:11" x14ac:dyDescent="0.2">
      <c r="A3009" t="s">
        <v>1340</v>
      </c>
      <c r="B3009" t="s">
        <v>447</v>
      </c>
      <c r="C3009" t="s">
        <v>9546</v>
      </c>
      <c r="D3009" t="s">
        <v>9547</v>
      </c>
      <c r="E3009" t="s">
        <v>789</v>
      </c>
      <c r="F3009" t="s">
        <v>5</v>
      </c>
      <c r="G3009" t="s">
        <v>24</v>
      </c>
      <c r="H3009">
        <f>7286*(1.01^10)</f>
        <v>8048.276805746038</v>
      </c>
      <c r="I3009">
        <f>34081*(1.01^10)</f>
        <v>37646.626656139269</v>
      </c>
      <c r="J3009" t="s">
        <v>9548</v>
      </c>
      <c r="K3009">
        <f t="shared" si="46"/>
        <v>227.56676572748225</v>
      </c>
    </row>
    <row r="3010" spans="1:11" x14ac:dyDescent="0.2">
      <c r="A3010" t="s">
        <v>1340</v>
      </c>
      <c r="B3010" t="s">
        <v>447</v>
      </c>
      <c r="C3010" t="s">
        <v>9549</v>
      </c>
      <c r="D3010" t="s">
        <v>9550</v>
      </c>
      <c r="E3010" t="s">
        <v>23</v>
      </c>
      <c r="F3010" t="s">
        <v>17</v>
      </c>
      <c r="G3010" t="s">
        <v>24</v>
      </c>
      <c r="H3010">
        <f>8264*(1.01^10)</f>
        <v>9128.5972443981955</v>
      </c>
      <c r="I3010">
        <f>38761*(1.01^10)</f>
        <v>42816.258203063706</v>
      </c>
      <c r="J3010" t="s">
        <v>9551</v>
      </c>
      <c r="K3010">
        <f t="shared" si="46"/>
        <v>369.83866402634351</v>
      </c>
    </row>
    <row r="3011" spans="1:11" x14ac:dyDescent="0.2">
      <c r="A3011" t="s">
        <v>1340</v>
      </c>
      <c r="B3011" t="s">
        <v>447</v>
      </c>
      <c r="C3011" t="s">
        <v>9552</v>
      </c>
      <c r="D3011" t="s">
        <v>9553</v>
      </c>
      <c r="E3011" t="s">
        <v>23</v>
      </c>
      <c r="F3011" t="s">
        <v>108</v>
      </c>
      <c r="G3011" t="s">
        <v>17</v>
      </c>
      <c r="H3011">
        <f>24595*(1.01^10)</f>
        <v>27168.181174488582</v>
      </c>
      <c r="I3011">
        <f>116895*(1.01^10)</f>
        <v>129124.80334994278</v>
      </c>
      <c r="J3011" t="s">
        <v>9554</v>
      </c>
      <c r="K3011">
        <f t="shared" ref="K3011:K3074" si="47">I3011/J3011</f>
        <v>723.35068177725327</v>
      </c>
    </row>
    <row r="3012" spans="1:11" x14ac:dyDescent="0.2">
      <c r="A3012" t="s">
        <v>1340</v>
      </c>
      <c r="B3012" t="s">
        <v>447</v>
      </c>
      <c r="C3012" t="s">
        <v>9555</v>
      </c>
      <c r="D3012" t="s">
        <v>9556</v>
      </c>
      <c r="E3012" t="s">
        <v>36</v>
      </c>
      <c r="F3012" t="s">
        <v>744</v>
      </c>
      <c r="G3012" t="s">
        <v>17</v>
      </c>
      <c r="H3012">
        <f>17366*(1.01^10)</f>
        <v>19182.86782989098</v>
      </c>
      <c r="I3012">
        <f>83690*(1.01^10)</f>
        <v>92445.825675663727</v>
      </c>
      <c r="J3012" t="s">
        <v>9557</v>
      </c>
      <c r="K3012">
        <f t="shared" si="47"/>
        <v>501.40856100052315</v>
      </c>
    </row>
    <row r="3013" spans="1:11" x14ac:dyDescent="0.2">
      <c r="A3013" t="s">
        <v>1340</v>
      </c>
      <c r="B3013" t="s">
        <v>447</v>
      </c>
      <c r="C3013" t="s">
        <v>9558</v>
      </c>
      <c r="D3013" t="s">
        <v>9559</v>
      </c>
      <c r="E3013" t="s">
        <v>133</v>
      </c>
      <c r="F3013" t="s">
        <v>17</v>
      </c>
      <c r="G3013" t="s">
        <v>24</v>
      </c>
      <c r="H3013">
        <f>44326*(1.01^10)</f>
        <v>48963.480330977065</v>
      </c>
      <c r="I3013">
        <f>186930*(1.01^10)</f>
        <v>206487.01390311652</v>
      </c>
      <c r="J3013" t="s">
        <v>9560</v>
      </c>
      <c r="K3013">
        <f t="shared" si="47"/>
        <v>921.60978998674386</v>
      </c>
    </row>
    <row r="3014" spans="1:11" x14ac:dyDescent="0.2">
      <c r="A3014" t="s">
        <v>1340</v>
      </c>
      <c r="B3014" t="s">
        <v>447</v>
      </c>
      <c r="C3014" t="s">
        <v>9561</v>
      </c>
      <c r="D3014" t="s">
        <v>9562</v>
      </c>
      <c r="E3014" t="s">
        <v>1010</v>
      </c>
      <c r="F3014" t="s">
        <v>17</v>
      </c>
      <c r="G3014" t="s">
        <v>24</v>
      </c>
      <c r="H3014">
        <f>34206*(1.01^10)</f>
        <v>37784.704421815666</v>
      </c>
      <c r="I3014">
        <f>143416*(1.01^10)</f>
        <v>158420.48673797335</v>
      </c>
      <c r="J3014" t="s">
        <v>9563</v>
      </c>
      <c r="K3014">
        <f t="shared" si="47"/>
        <v>1067.2806540586714</v>
      </c>
    </row>
    <row r="3015" spans="1:11" x14ac:dyDescent="0.2">
      <c r="A3015" t="s">
        <v>1340</v>
      </c>
      <c r="B3015" t="s">
        <v>447</v>
      </c>
      <c r="C3015" t="s">
        <v>9564</v>
      </c>
      <c r="D3015" t="s">
        <v>9565</v>
      </c>
      <c r="E3015" t="s">
        <v>180</v>
      </c>
      <c r="F3015" t="s">
        <v>24</v>
      </c>
      <c r="G3015" t="s">
        <v>24</v>
      </c>
      <c r="H3015">
        <f>12247*(1.01^10)</f>
        <v>13528.307169911024</v>
      </c>
      <c r="I3015">
        <f>53498*(1.01^10)</f>
        <v>59095.074465248632</v>
      </c>
      <c r="J3015" t="s">
        <v>9566</v>
      </c>
      <c r="K3015">
        <f t="shared" si="47"/>
        <v>1002.6963882831132</v>
      </c>
    </row>
    <row r="3016" spans="1:11" x14ac:dyDescent="0.2">
      <c r="A3016" t="s">
        <v>1340</v>
      </c>
      <c r="B3016" t="s">
        <v>447</v>
      </c>
      <c r="C3016" t="s">
        <v>9567</v>
      </c>
      <c r="D3016" t="s">
        <v>9568</v>
      </c>
      <c r="E3016" t="s">
        <v>611</v>
      </c>
      <c r="F3016" t="s">
        <v>5</v>
      </c>
      <c r="G3016" t="s">
        <v>24</v>
      </c>
      <c r="H3016">
        <f>16881*(1.01^10)</f>
        <v>18647.126099066547</v>
      </c>
      <c r="I3016">
        <f>69334*(1.01^10)</f>
        <v>76587.870443260472</v>
      </c>
      <c r="J3016" t="s">
        <v>9569</v>
      </c>
      <c r="K3016">
        <f t="shared" si="47"/>
        <v>712.80521339634436</v>
      </c>
    </row>
    <row r="3017" spans="1:11" x14ac:dyDescent="0.2">
      <c r="A3017" t="s">
        <v>1340</v>
      </c>
      <c r="B3017" t="s">
        <v>447</v>
      </c>
      <c r="C3017" t="s">
        <v>9570</v>
      </c>
      <c r="D3017" t="s">
        <v>9571</v>
      </c>
      <c r="E3017" t="s">
        <v>1303</v>
      </c>
      <c r="F3017" t="s">
        <v>12</v>
      </c>
      <c r="G3017" t="s">
        <v>24</v>
      </c>
      <c r="H3017">
        <f>22391*(1.01^10)</f>
        <v>24733.594010082285</v>
      </c>
      <c r="I3017">
        <f>97616*(1.01^10)</f>
        <v>107828.79339414016</v>
      </c>
      <c r="J3017" t="s">
        <v>9572</v>
      </c>
      <c r="K3017">
        <f t="shared" si="47"/>
        <v>851.10166394183102</v>
      </c>
    </row>
    <row r="3018" spans="1:11" x14ac:dyDescent="0.2">
      <c r="A3018" t="s">
        <v>1340</v>
      </c>
      <c r="B3018" t="s">
        <v>447</v>
      </c>
      <c r="C3018" t="s">
        <v>9573</v>
      </c>
      <c r="D3018" t="s">
        <v>9574</v>
      </c>
      <c r="E3018" t="s">
        <v>47</v>
      </c>
      <c r="F3018" t="s">
        <v>24</v>
      </c>
      <c r="G3018" t="s">
        <v>24</v>
      </c>
      <c r="H3018">
        <f>13482*(1.01^10)</f>
        <v>14892.515494793863</v>
      </c>
      <c r="I3018">
        <f>62359*(1.01^10)</f>
        <v>68883.131118517311</v>
      </c>
      <c r="J3018" t="s">
        <v>9575</v>
      </c>
      <c r="K3018">
        <f t="shared" si="47"/>
        <v>750.09751750140435</v>
      </c>
    </row>
    <row r="3019" spans="1:11" x14ac:dyDescent="0.2">
      <c r="A3019" t="s">
        <v>1340</v>
      </c>
      <c r="B3019" t="s">
        <v>447</v>
      </c>
      <c r="C3019" t="s">
        <v>9576</v>
      </c>
      <c r="D3019" t="s">
        <v>9577</v>
      </c>
      <c r="E3019" t="s">
        <v>611</v>
      </c>
      <c r="F3019" t="s">
        <v>12</v>
      </c>
      <c r="G3019" t="s">
        <v>24</v>
      </c>
      <c r="H3019">
        <f>24259*(1.01^10)</f>
        <v>26797.028140350416</v>
      </c>
      <c r="I3019">
        <f>108641*(1.01^10)</f>
        <v>120007.2523267987</v>
      </c>
      <c r="J3019" t="s">
        <v>6447</v>
      </c>
      <c r="K3019">
        <f t="shared" si="47"/>
        <v>988.28339229843277</v>
      </c>
    </row>
    <row r="3020" spans="1:11" x14ac:dyDescent="0.2">
      <c r="A3020" t="s">
        <v>1340</v>
      </c>
      <c r="B3020" t="s">
        <v>447</v>
      </c>
      <c r="C3020" t="s">
        <v>9578</v>
      </c>
      <c r="D3020" t="s">
        <v>9579</v>
      </c>
      <c r="E3020" t="s">
        <v>313</v>
      </c>
      <c r="F3020" t="s">
        <v>24</v>
      </c>
      <c r="G3020" t="s">
        <v>24</v>
      </c>
      <c r="H3020">
        <f>7197*(1.01^10)</f>
        <v>7949.9654365844408</v>
      </c>
      <c r="I3020">
        <f>33732*(1.01^10)</f>
        <v>37261.113534370757</v>
      </c>
      <c r="J3020" t="s">
        <v>9580</v>
      </c>
      <c r="K3020">
        <f t="shared" si="47"/>
        <v>1096.4259262156811</v>
      </c>
    </row>
    <row r="3021" spans="1:11" x14ac:dyDescent="0.2">
      <c r="A3021" t="s">
        <v>1340</v>
      </c>
      <c r="B3021" t="s">
        <v>447</v>
      </c>
      <c r="C3021" t="s">
        <v>9581</v>
      </c>
      <c r="D3021" t="s">
        <v>9582</v>
      </c>
      <c r="E3021" t="s">
        <v>5</v>
      </c>
      <c r="F3021" t="s">
        <v>24</v>
      </c>
      <c r="G3021" t="s">
        <v>24</v>
      </c>
      <c r="H3021">
        <f>618*(1.01^10)</f>
        <v>682.65647350412451</v>
      </c>
      <c r="I3021">
        <f>3190*(1.01^10)</f>
        <v>3523.7445800617434</v>
      </c>
      <c r="J3021" t="s">
        <v>9583</v>
      </c>
      <c r="K3021">
        <f t="shared" si="47"/>
        <v>684.93599097636388</v>
      </c>
    </row>
    <row r="3022" spans="1:11" x14ac:dyDescent="0.2">
      <c r="A3022" t="s">
        <v>1340</v>
      </c>
      <c r="B3022" t="s">
        <v>447</v>
      </c>
      <c r="C3022" t="s">
        <v>9584</v>
      </c>
      <c r="D3022" t="s">
        <v>8448</v>
      </c>
      <c r="E3022" t="s">
        <v>137</v>
      </c>
      <c r="F3022" t="s">
        <v>11</v>
      </c>
      <c r="G3022" t="s">
        <v>24</v>
      </c>
      <c r="H3022">
        <f>14629*(1.01^10)</f>
        <v>16159.517072640514</v>
      </c>
      <c r="I3022">
        <f>63971*(1.01^10)</f>
        <v>70663.781984680172</v>
      </c>
      <c r="J3022" t="s">
        <v>9585</v>
      </c>
      <c r="K3022">
        <f t="shared" si="47"/>
        <v>890.46289221470249</v>
      </c>
    </row>
    <row r="3023" spans="1:11" x14ac:dyDescent="0.2">
      <c r="A3023" t="s">
        <v>1340</v>
      </c>
      <c r="B3023" t="s">
        <v>447</v>
      </c>
      <c r="C3023" t="s">
        <v>9586</v>
      </c>
      <c r="D3023" t="s">
        <v>9587</v>
      </c>
      <c r="E3023" t="s">
        <v>1340</v>
      </c>
      <c r="F3023" t="s">
        <v>12</v>
      </c>
      <c r="G3023" t="s">
        <v>24</v>
      </c>
      <c r="H3023">
        <f>5445*(1.01^10)</f>
        <v>6014.6674728640101</v>
      </c>
      <c r="I3023">
        <f>25543*(1.01^10)</f>
        <v>28215.362949378403</v>
      </c>
      <c r="J3023" t="s">
        <v>9588</v>
      </c>
      <c r="K3023">
        <f t="shared" si="47"/>
        <v>702.5027949756693</v>
      </c>
    </row>
    <row r="3024" spans="1:11" x14ac:dyDescent="0.2">
      <c r="A3024" t="s">
        <v>1340</v>
      </c>
      <c r="B3024" t="s">
        <v>447</v>
      </c>
      <c r="C3024" t="s">
        <v>9589</v>
      </c>
      <c r="D3024" t="s">
        <v>9590</v>
      </c>
      <c r="E3024" t="s">
        <v>282</v>
      </c>
      <c r="F3024" t="s">
        <v>5</v>
      </c>
      <c r="G3024" t="s">
        <v>24</v>
      </c>
      <c r="H3024">
        <f>33267*(1.01^10)</f>
        <v>36747.464246054551</v>
      </c>
      <c r="I3024">
        <f>147497*(1.01^10)</f>
        <v>162928.44963177646</v>
      </c>
      <c r="J3024" t="s">
        <v>9591</v>
      </c>
      <c r="K3024">
        <f t="shared" si="47"/>
        <v>775.3414501052855</v>
      </c>
    </row>
    <row r="3025" spans="1:11" x14ac:dyDescent="0.2">
      <c r="A3025" t="s">
        <v>1340</v>
      </c>
      <c r="B3025" t="s">
        <v>447</v>
      </c>
      <c r="C3025" t="s">
        <v>9592</v>
      </c>
      <c r="D3025" t="s">
        <v>9593</v>
      </c>
      <c r="E3025" t="s">
        <v>24</v>
      </c>
      <c r="F3025" t="s">
        <v>24</v>
      </c>
      <c r="G3025" t="s">
        <v>12</v>
      </c>
      <c r="H3025">
        <f>123034*(1.01^10)</f>
        <v>135906.07857784216</v>
      </c>
      <c r="I3025">
        <f>610189*(1.01^10)</f>
        <v>674028.27008253767</v>
      </c>
      <c r="J3025" t="s">
        <v>9594</v>
      </c>
      <c r="K3025">
        <f t="shared" si="47"/>
        <v>4518.8272330553609</v>
      </c>
    </row>
    <row r="3026" spans="1:11" x14ac:dyDescent="0.2">
      <c r="A3026" t="s">
        <v>1340</v>
      </c>
      <c r="B3026" t="s">
        <v>3106</v>
      </c>
      <c r="C3026" t="s">
        <v>9595</v>
      </c>
      <c r="D3026" t="s">
        <v>9596</v>
      </c>
      <c r="E3026" t="s">
        <v>164</v>
      </c>
      <c r="F3026" t="s">
        <v>44</v>
      </c>
      <c r="G3026" t="s">
        <v>24</v>
      </c>
      <c r="H3026">
        <f>16682*(1.01^10)</f>
        <v>18427.306296109717</v>
      </c>
      <c r="I3026">
        <f>80344*(1.01^10)</f>
        <v>88749.76004403783</v>
      </c>
      <c r="J3026" t="s">
        <v>9597</v>
      </c>
      <c r="K3026">
        <f t="shared" si="47"/>
        <v>401.60157082892971</v>
      </c>
    </row>
    <row r="3027" spans="1:11" x14ac:dyDescent="0.2">
      <c r="A3027" t="s">
        <v>1340</v>
      </c>
      <c r="B3027" t="s">
        <v>3106</v>
      </c>
      <c r="C3027" t="s">
        <v>9598</v>
      </c>
      <c r="D3027" t="s">
        <v>9599</v>
      </c>
      <c r="E3027" t="s">
        <v>674</v>
      </c>
      <c r="F3027" t="s">
        <v>158</v>
      </c>
      <c r="G3027" t="s">
        <v>24</v>
      </c>
      <c r="H3027">
        <f>10069*(1.01^10)</f>
        <v>11122.440180765421</v>
      </c>
      <c r="I3027">
        <f>45810*(1.01^10)</f>
        <v>50602.739565087286</v>
      </c>
      <c r="J3027" t="s">
        <v>9600</v>
      </c>
      <c r="K3027">
        <f t="shared" si="47"/>
        <v>289.93552614436192</v>
      </c>
    </row>
    <row r="3028" spans="1:11" x14ac:dyDescent="0.2">
      <c r="A3028" t="s">
        <v>1340</v>
      </c>
      <c r="B3028" t="s">
        <v>3106</v>
      </c>
      <c r="C3028" t="s">
        <v>9601</v>
      </c>
      <c r="D3028" t="s">
        <v>9602</v>
      </c>
      <c r="E3028" t="s">
        <v>1656</v>
      </c>
      <c r="F3028" t="s">
        <v>17</v>
      </c>
      <c r="G3028" t="s">
        <v>17</v>
      </c>
      <c r="H3028">
        <f>7764*(1.01^10)</f>
        <v>8576.2861816925943</v>
      </c>
      <c r="I3028">
        <f>38517*(1.01^10)</f>
        <v>42546.730404463371</v>
      </c>
      <c r="J3028" t="s">
        <v>9603</v>
      </c>
      <c r="K3028">
        <f t="shared" si="47"/>
        <v>205.02768153567499</v>
      </c>
    </row>
    <row r="3029" spans="1:11" x14ac:dyDescent="0.2">
      <c r="A3029" t="s">
        <v>1340</v>
      </c>
      <c r="B3029" t="s">
        <v>3106</v>
      </c>
      <c r="C3029" t="s">
        <v>9604</v>
      </c>
      <c r="D3029" t="s">
        <v>9605</v>
      </c>
      <c r="E3029" t="s">
        <v>97</v>
      </c>
      <c r="F3029" t="s">
        <v>11</v>
      </c>
      <c r="G3029" t="s">
        <v>24</v>
      </c>
      <c r="H3029">
        <f>10499*(1.01^10)</f>
        <v>11597.427694692238</v>
      </c>
      <c r="I3029">
        <f>49415*(1.01^10)</f>
        <v>54584.902327194679</v>
      </c>
      <c r="J3029" t="s">
        <v>9606</v>
      </c>
      <c r="K3029">
        <f t="shared" si="47"/>
        <v>382.27251650939962</v>
      </c>
    </row>
    <row r="3030" spans="1:11" x14ac:dyDescent="0.2">
      <c r="A3030" t="s">
        <v>1340</v>
      </c>
      <c r="B3030" t="s">
        <v>3106</v>
      </c>
      <c r="C3030" t="s">
        <v>9607</v>
      </c>
      <c r="D3030" t="s">
        <v>9608</v>
      </c>
      <c r="E3030" t="s">
        <v>108</v>
      </c>
      <c r="F3030" t="s">
        <v>17</v>
      </c>
      <c r="G3030" t="s">
        <v>24</v>
      </c>
      <c r="H3030">
        <f>3745*(1.01^10)</f>
        <v>4136.8098596649616</v>
      </c>
      <c r="I3030">
        <f>17424*(1.01^10)</f>
        <v>19246.935913164831</v>
      </c>
      <c r="J3030" t="s">
        <v>9609</v>
      </c>
      <c r="K3030">
        <f t="shared" si="47"/>
        <v>395.37848485970517</v>
      </c>
    </row>
    <row r="3031" spans="1:11" x14ac:dyDescent="0.2">
      <c r="A3031" t="s">
        <v>1340</v>
      </c>
      <c r="B3031" t="s">
        <v>3106</v>
      </c>
      <c r="C3031" t="s">
        <v>9610</v>
      </c>
      <c r="D3031" t="s">
        <v>9611</v>
      </c>
      <c r="E3031" t="s">
        <v>185</v>
      </c>
      <c r="F3031" t="s">
        <v>11</v>
      </c>
      <c r="G3031" t="s">
        <v>12</v>
      </c>
      <c r="H3031">
        <f>21133*(1.01^10)</f>
        <v>23343.97937631499</v>
      </c>
      <c r="I3031">
        <f>98293*(1.01^10)</f>
        <v>108576.62257304355</v>
      </c>
      <c r="J3031" t="s">
        <v>9612</v>
      </c>
      <c r="K3031">
        <f t="shared" si="47"/>
        <v>987.79004128198414</v>
      </c>
    </row>
    <row r="3032" spans="1:11" x14ac:dyDescent="0.2">
      <c r="A3032" t="s">
        <v>1340</v>
      </c>
      <c r="B3032" t="s">
        <v>3106</v>
      </c>
      <c r="C3032" t="s">
        <v>9613</v>
      </c>
      <c r="D3032" t="s">
        <v>9614</v>
      </c>
      <c r="E3032" t="s">
        <v>759</v>
      </c>
      <c r="F3032" t="s">
        <v>744</v>
      </c>
      <c r="G3032" t="s">
        <v>24</v>
      </c>
      <c r="H3032">
        <f>20561*(1.01^10)</f>
        <v>22712.135520579781</v>
      </c>
      <c r="I3032">
        <f>96874*(1.01^10)</f>
        <v>107009.16377708505</v>
      </c>
      <c r="J3032" t="s">
        <v>9615</v>
      </c>
      <c r="K3032">
        <f t="shared" si="47"/>
        <v>572.18789129508446</v>
      </c>
    </row>
    <row r="3033" spans="1:11" x14ac:dyDescent="0.2">
      <c r="A3033" t="s">
        <v>1340</v>
      </c>
      <c r="B3033" t="s">
        <v>3106</v>
      </c>
      <c r="C3033" t="s">
        <v>9616</v>
      </c>
      <c r="D3033" t="s">
        <v>9617</v>
      </c>
      <c r="E3033" t="s">
        <v>1195</v>
      </c>
      <c r="F3033" t="s">
        <v>158</v>
      </c>
      <c r="G3033" t="s">
        <v>24</v>
      </c>
      <c r="H3033">
        <f>13399*(1.01^10)</f>
        <v>14800.831858384732</v>
      </c>
      <c r="I3033">
        <f>65386*(1.01^10)</f>
        <v>72226.822292137032</v>
      </c>
      <c r="J3033" t="s">
        <v>9618</v>
      </c>
      <c r="K3033">
        <f t="shared" si="47"/>
        <v>564.82261272965195</v>
      </c>
    </row>
    <row r="3034" spans="1:11" x14ac:dyDescent="0.2">
      <c r="A3034" t="s">
        <v>1340</v>
      </c>
      <c r="B3034" t="s">
        <v>3106</v>
      </c>
      <c r="C3034" t="s">
        <v>9619</v>
      </c>
      <c r="D3034" t="s">
        <v>9620</v>
      </c>
      <c r="E3034" t="s">
        <v>1223</v>
      </c>
      <c r="F3034" t="s">
        <v>5</v>
      </c>
      <c r="G3034" t="s">
        <v>12</v>
      </c>
      <c r="H3034">
        <f>30792*(1.01^10)</f>
        <v>34013.524485661816</v>
      </c>
      <c r="I3034">
        <f>134859*(1.01^10)</f>
        <v>148968.23521082965</v>
      </c>
      <c r="J3034" t="s">
        <v>9621</v>
      </c>
      <c r="K3034">
        <f t="shared" si="47"/>
        <v>1476.2582285863732</v>
      </c>
    </row>
    <row r="3035" spans="1:11" x14ac:dyDescent="0.2">
      <c r="A3035" t="s">
        <v>1340</v>
      </c>
      <c r="B3035" t="s">
        <v>3106</v>
      </c>
      <c r="C3035" t="s">
        <v>9622</v>
      </c>
      <c r="D3035" t="s">
        <v>9623</v>
      </c>
      <c r="E3035" t="s">
        <v>1282</v>
      </c>
      <c r="F3035" t="s">
        <v>108</v>
      </c>
      <c r="G3035" t="s">
        <v>24</v>
      </c>
      <c r="H3035">
        <f>28034*(1.01^10)</f>
        <v>30966.976663777714</v>
      </c>
      <c r="I3035">
        <f>127778*(1.01^10)</f>
        <v>141146.40594079293</v>
      </c>
      <c r="J3035" t="s">
        <v>9624</v>
      </c>
      <c r="K3035">
        <f t="shared" si="47"/>
        <v>837.91958037101062</v>
      </c>
    </row>
    <row r="3036" spans="1:11" x14ac:dyDescent="0.2">
      <c r="A3036" t="s">
        <v>1340</v>
      </c>
      <c r="B3036" t="s">
        <v>3106</v>
      </c>
      <c r="C3036" t="s">
        <v>9625</v>
      </c>
      <c r="D3036" t="s">
        <v>9626</v>
      </c>
      <c r="E3036" t="s">
        <v>486</v>
      </c>
      <c r="F3036" t="s">
        <v>91</v>
      </c>
      <c r="G3036" t="s">
        <v>12</v>
      </c>
      <c r="H3036">
        <f>35054*(1.01^10)</f>
        <v>38721.423984164372</v>
      </c>
      <c r="I3036">
        <f>164969*(1.01^10)</f>
        <v>182228.40740696102</v>
      </c>
      <c r="J3036" t="s">
        <v>9627</v>
      </c>
      <c r="K3036">
        <f t="shared" si="47"/>
        <v>960.11142903301106</v>
      </c>
    </row>
    <row r="3037" spans="1:11" x14ac:dyDescent="0.2">
      <c r="A3037" t="s">
        <v>1340</v>
      </c>
      <c r="B3037" t="s">
        <v>3106</v>
      </c>
      <c r="C3037" t="s">
        <v>9628</v>
      </c>
      <c r="D3037" t="s">
        <v>9629</v>
      </c>
      <c r="E3037" t="s">
        <v>1229</v>
      </c>
      <c r="F3037" t="s">
        <v>411</v>
      </c>
      <c r="G3037" t="s">
        <v>17</v>
      </c>
      <c r="H3037">
        <f>18713*(1.01^10)</f>
        <v>20670.793832819876</v>
      </c>
      <c r="I3037">
        <f>87741*(1.01^10)</f>
        <v>96920.649905704515</v>
      </c>
      <c r="J3037" t="s">
        <v>9630</v>
      </c>
      <c r="K3037">
        <f t="shared" si="47"/>
        <v>580.59532026425541</v>
      </c>
    </row>
    <row r="3038" spans="1:11" x14ac:dyDescent="0.2">
      <c r="A3038" t="s">
        <v>1340</v>
      </c>
      <c r="B3038" t="s">
        <v>3106</v>
      </c>
      <c r="C3038" t="s">
        <v>9631</v>
      </c>
      <c r="D3038" t="s">
        <v>9632</v>
      </c>
      <c r="E3038" t="s">
        <v>1960</v>
      </c>
      <c r="F3038" t="s">
        <v>6</v>
      </c>
      <c r="G3038" t="s">
        <v>24</v>
      </c>
      <c r="H3038">
        <f>23698*(1.01^10)</f>
        <v>26177.335127994731</v>
      </c>
      <c r="I3038">
        <f>111408*(1.01^10)</f>
        <v>123063.74174781149</v>
      </c>
      <c r="J3038" t="s">
        <v>9633</v>
      </c>
      <c r="K3038">
        <f t="shared" si="47"/>
        <v>1150.1059528223848</v>
      </c>
    </row>
    <row r="3039" spans="1:11" x14ac:dyDescent="0.2">
      <c r="A3039" t="s">
        <v>1340</v>
      </c>
      <c r="B3039" t="s">
        <v>3106</v>
      </c>
      <c r="C3039" t="s">
        <v>9634</v>
      </c>
      <c r="D3039" t="s">
        <v>9635</v>
      </c>
      <c r="E3039" t="s">
        <v>982</v>
      </c>
      <c r="F3039" t="s">
        <v>72</v>
      </c>
      <c r="G3039" t="s">
        <v>24</v>
      </c>
      <c r="H3039">
        <f>29345*(1.01^10)</f>
        <v>32415.136270191804</v>
      </c>
      <c r="I3039">
        <f>129826*(1.01^10)</f>
        <v>143408.67205363506</v>
      </c>
      <c r="J3039" t="s">
        <v>9636</v>
      </c>
      <c r="K3039">
        <f t="shared" si="47"/>
        <v>567.69465183845875</v>
      </c>
    </row>
    <row r="3040" spans="1:11" x14ac:dyDescent="0.2">
      <c r="A3040" t="s">
        <v>1340</v>
      </c>
      <c r="B3040" t="s">
        <v>3106</v>
      </c>
      <c r="C3040" t="s">
        <v>9637</v>
      </c>
      <c r="D3040" t="s">
        <v>9638</v>
      </c>
      <c r="E3040" t="s">
        <v>425</v>
      </c>
      <c r="F3040" t="s">
        <v>17</v>
      </c>
      <c r="G3040" t="s">
        <v>24</v>
      </c>
      <c r="H3040">
        <f>26021*(1.01^10)</f>
        <v>28743.372325324959</v>
      </c>
      <c r="I3040">
        <f>111449*(1.01^10)</f>
        <v>123109.03125495336</v>
      </c>
      <c r="J3040" t="s">
        <v>9639</v>
      </c>
      <c r="K3040">
        <f t="shared" si="47"/>
        <v>874.94877809993216</v>
      </c>
    </row>
    <row r="3041" spans="1:11" x14ac:dyDescent="0.2">
      <c r="A3041" t="s">
        <v>1340</v>
      </c>
      <c r="B3041" t="s">
        <v>3106</v>
      </c>
      <c r="C3041" t="s">
        <v>9640</v>
      </c>
      <c r="D3041" t="s">
        <v>9641</v>
      </c>
      <c r="E3041" t="s">
        <v>386</v>
      </c>
      <c r="F3041" t="s">
        <v>158</v>
      </c>
      <c r="G3041" t="s">
        <v>12</v>
      </c>
      <c r="H3041">
        <f>47171*(1.01^10)</f>
        <v>52106.130277771939</v>
      </c>
      <c r="I3041">
        <f>196780*(1.01^10)</f>
        <v>217367.54183841686</v>
      </c>
      <c r="J3041" t="s">
        <v>9642</v>
      </c>
      <c r="K3041">
        <f t="shared" si="47"/>
        <v>912.90493705119411</v>
      </c>
    </row>
    <row r="3042" spans="1:11" x14ac:dyDescent="0.2">
      <c r="A3042" t="s">
        <v>1340</v>
      </c>
      <c r="B3042" t="s">
        <v>3106</v>
      </c>
      <c r="C3042" t="s">
        <v>9643</v>
      </c>
      <c r="D3042" t="s">
        <v>9644</v>
      </c>
      <c r="E3042" t="s">
        <v>1195</v>
      </c>
      <c r="F3042" t="s">
        <v>5</v>
      </c>
      <c r="G3042" t="s">
        <v>24</v>
      </c>
      <c r="H3042">
        <f>29857*(1.01^10)</f>
        <v>32980.702798402337</v>
      </c>
      <c r="I3042">
        <f>123956*(1.01^10)</f>
        <v>136924.5401774713</v>
      </c>
      <c r="J3042" t="s">
        <v>9645</v>
      </c>
      <c r="K3042">
        <f t="shared" si="47"/>
        <v>898.68831715764907</v>
      </c>
    </row>
    <row r="3043" spans="1:11" x14ac:dyDescent="0.2">
      <c r="A3043" t="s">
        <v>1340</v>
      </c>
      <c r="B3043" t="s">
        <v>3106</v>
      </c>
      <c r="C3043" t="s">
        <v>9646</v>
      </c>
      <c r="D3043" t="s">
        <v>9647</v>
      </c>
      <c r="E3043" t="s">
        <v>611</v>
      </c>
      <c r="F3043" t="s">
        <v>24</v>
      </c>
      <c r="G3043" t="s">
        <v>24</v>
      </c>
      <c r="H3043">
        <f>35314*(1.01^10)</f>
        <v>39008.625736771282</v>
      </c>
      <c r="I3043">
        <f>146363*(1.01^10)</f>
        <v>161675.80814156015</v>
      </c>
      <c r="J3043" t="s">
        <v>9648</v>
      </c>
      <c r="K3043">
        <f t="shared" si="47"/>
        <v>993.08127399401167</v>
      </c>
    </row>
    <row r="3044" spans="1:11" x14ac:dyDescent="0.2">
      <c r="A3044" t="s">
        <v>1340</v>
      </c>
      <c r="B3044" t="s">
        <v>5191</v>
      </c>
      <c r="C3044" t="s">
        <v>9649</v>
      </c>
      <c r="D3044" t="s">
        <v>9650</v>
      </c>
      <c r="E3044" t="s">
        <v>1010</v>
      </c>
      <c r="F3044" t="s">
        <v>6</v>
      </c>
      <c r="G3044" t="s">
        <v>12</v>
      </c>
      <c r="H3044">
        <f>38920*(1.01^10)</f>
        <v>42991.89312100409</v>
      </c>
      <c r="I3044">
        <f>164482*(1.01^10)</f>
        <v>181690.45643188577</v>
      </c>
      <c r="J3044" t="s">
        <v>9651</v>
      </c>
      <c r="K3044">
        <f t="shared" si="47"/>
        <v>211.32173601376692</v>
      </c>
    </row>
    <row r="3045" spans="1:11" x14ac:dyDescent="0.2">
      <c r="A3045" t="s">
        <v>1340</v>
      </c>
      <c r="B3045" t="s">
        <v>5191</v>
      </c>
      <c r="C3045" t="s">
        <v>9652</v>
      </c>
      <c r="D3045" t="s">
        <v>9653</v>
      </c>
      <c r="E3045" t="s">
        <v>626</v>
      </c>
      <c r="F3045" t="s">
        <v>445</v>
      </c>
      <c r="G3045" t="s">
        <v>12</v>
      </c>
      <c r="H3045">
        <f>26786*(1.01^10)</f>
        <v>29588.408251264529</v>
      </c>
      <c r="I3045">
        <f>117096*(1.01^10)</f>
        <v>129346.83239715043</v>
      </c>
      <c r="J3045" t="s">
        <v>9654</v>
      </c>
      <c r="K3045">
        <f t="shared" si="47"/>
        <v>302.68087934225463</v>
      </c>
    </row>
    <row r="3046" spans="1:11" x14ac:dyDescent="0.2">
      <c r="A3046" t="s">
        <v>1340</v>
      </c>
      <c r="B3046" t="s">
        <v>5191</v>
      </c>
      <c r="C3046" t="s">
        <v>9655</v>
      </c>
      <c r="D3046" t="s">
        <v>9656</v>
      </c>
      <c r="E3046" t="s">
        <v>1195</v>
      </c>
      <c r="F3046" t="s">
        <v>12</v>
      </c>
      <c r="G3046" t="s">
        <v>24</v>
      </c>
      <c r="H3046">
        <f>13114*(1.01^10)</f>
        <v>14486.014552642539</v>
      </c>
      <c r="I3046">
        <f>61222*(1.01^10)</f>
        <v>67627.17576192478</v>
      </c>
      <c r="J3046" t="s">
        <v>9657</v>
      </c>
      <c r="K3046">
        <f t="shared" si="47"/>
        <v>137.37166337981384</v>
      </c>
    </row>
    <row r="3047" spans="1:11" x14ac:dyDescent="0.2">
      <c r="A3047" t="s">
        <v>1340</v>
      </c>
      <c r="B3047" t="s">
        <v>5191</v>
      </c>
      <c r="C3047" t="s">
        <v>9658</v>
      </c>
      <c r="D3047" t="s">
        <v>9659</v>
      </c>
      <c r="E3047" t="s">
        <v>324</v>
      </c>
      <c r="F3047" t="s">
        <v>1340</v>
      </c>
      <c r="G3047" t="s">
        <v>12</v>
      </c>
      <c r="H3047">
        <f>22588*(1.01^10)</f>
        <v>24951.204568788293</v>
      </c>
      <c r="I3047">
        <f>101051*(1.01^10)</f>
        <v>111623.17039492766</v>
      </c>
      <c r="J3047" t="s">
        <v>9660</v>
      </c>
      <c r="K3047">
        <f t="shared" si="47"/>
        <v>505.0770771198242</v>
      </c>
    </row>
    <row r="3048" spans="1:11" x14ac:dyDescent="0.2">
      <c r="A3048" t="s">
        <v>1340</v>
      </c>
      <c r="B3048" t="s">
        <v>5191</v>
      </c>
      <c r="C3048" t="s">
        <v>9661</v>
      </c>
      <c r="D3048" t="s">
        <v>9662</v>
      </c>
      <c r="E3048" t="s">
        <v>2283</v>
      </c>
      <c r="F3048" t="s">
        <v>422</v>
      </c>
      <c r="G3048" t="s">
        <v>24</v>
      </c>
      <c r="H3048">
        <f>25204*(1.01^10)</f>
        <v>27840.896048864004</v>
      </c>
      <c r="I3048">
        <f>104442*(1.01^10)</f>
        <v>115368.94402219704</v>
      </c>
      <c r="J3048" t="s">
        <v>9663</v>
      </c>
      <c r="K3048">
        <f t="shared" si="47"/>
        <v>239.07847700891452</v>
      </c>
    </row>
    <row r="3049" spans="1:11" x14ac:dyDescent="0.2">
      <c r="A3049" t="s">
        <v>1340</v>
      </c>
      <c r="B3049" t="s">
        <v>5191</v>
      </c>
      <c r="C3049" t="s">
        <v>9664</v>
      </c>
      <c r="D3049" t="s">
        <v>9665</v>
      </c>
      <c r="E3049" t="s">
        <v>126</v>
      </c>
      <c r="F3049" t="s">
        <v>152</v>
      </c>
      <c r="G3049" t="s">
        <v>24</v>
      </c>
      <c r="H3049">
        <f>12345*(1.01^10)</f>
        <v>13636.560138201323</v>
      </c>
      <c r="I3049">
        <f>53452*(1.01^10)</f>
        <v>59044.261847479713</v>
      </c>
      <c r="J3049" t="s">
        <v>9666</v>
      </c>
      <c r="K3049">
        <f t="shared" si="47"/>
        <v>349.1945196935809</v>
      </c>
    </row>
    <row r="3050" spans="1:11" x14ac:dyDescent="0.2">
      <c r="A3050" t="s">
        <v>1340</v>
      </c>
      <c r="B3050" t="s">
        <v>5191</v>
      </c>
      <c r="C3050" t="s">
        <v>9667</v>
      </c>
      <c r="D3050" t="s">
        <v>9668</v>
      </c>
      <c r="E3050" t="s">
        <v>126</v>
      </c>
      <c r="F3050" t="s">
        <v>382</v>
      </c>
      <c r="G3050" t="s">
        <v>24</v>
      </c>
      <c r="H3050">
        <f>12475*(1.01^10)</f>
        <v>13780.16101450478</v>
      </c>
      <c r="I3050">
        <f>53802*(1.01^10)</f>
        <v>59430.879591373639</v>
      </c>
      <c r="J3050" t="s">
        <v>9669</v>
      </c>
      <c r="K3050">
        <f t="shared" si="47"/>
        <v>352.51758362610451</v>
      </c>
    </row>
    <row r="3051" spans="1:11" x14ac:dyDescent="0.2">
      <c r="A3051" t="s">
        <v>1340</v>
      </c>
      <c r="B3051" t="s">
        <v>5191</v>
      </c>
      <c r="C3051" t="s">
        <v>9670</v>
      </c>
      <c r="D3051" t="s">
        <v>9671</v>
      </c>
      <c r="E3051" t="s">
        <v>837</v>
      </c>
      <c r="F3051" t="s">
        <v>152</v>
      </c>
      <c r="G3051" t="s">
        <v>24</v>
      </c>
      <c r="H3051">
        <f>14709*(1.01^10)</f>
        <v>16247.88684267341</v>
      </c>
      <c r="I3051">
        <f>62014*(1.01^10)</f>
        <v>68502.036485250457</v>
      </c>
      <c r="J3051" t="s">
        <v>9672</v>
      </c>
      <c r="K3051">
        <f t="shared" si="47"/>
        <v>554.15819109668735</v>
      </c>
    </row>
    <row r="3052" spans="1:11" x14ac:dyDescent="0.2">
      <c r="A3052" t="s">
        <v>1340</v>
      </c>
      <c r="B3052" t="s">
        <v>5191</v>
      </c>
      <c r="C3052" t="s">
        <v>9673</v>
      </c>
      <c r="D3052" t="s">
        <v>9674</v>
      </c>
      <c r="E3052" t="s">
        <v>77</v>
      </c>
      <c r="F3052" t="s">
        <v>5</v>
      </c>
      <c r="G3052" t="s">
        <v>24</v>
      </c>
      <c r="H3052">
        <f>6213*(1.01^10)</f>
        <v>6863.0172651798148</v>
      </c>
      <c r="I3052">
        <f>26821*(1.01^10)</f>
        <v>29627.070025653924</v>
      </c>
      <c r="J3052" t="s">
        <v>9675</v>
      </c>
      <c r="K3052">
        <f t="shared" si="47"/>
        <v>366.88772458865139</v>
      </c>
    </row>
    <row r="3053" spans="1:11" x14ac:dyDescent="0.2">
      <c r="A3053" t="s">
        <v>1340</v>
      </c>
      <c r="B3053" t="s">
        <v>5191</v>
      </c>
      <c r="C3053" t="s">
        <v>9676</v>
      </c>
      <c r="D3053" t="s">
        <v>9677</v>
      </c>
      <c r="E3053" t="s">
        <v>789</v>
      </c>
      <c r="F3053" t="s">
        <v>17</v>
      </c>
      <c r="G3053" t="s">
        <v>24</v>
      </c>
      <c r="H3053">
        <f>12057*(1.01^10)</f>
        <v>13318.428966082896</v>
      </c>
      <c r="I3053">
        <f>47592*(1.01^10)</f>
        <v>52571.176192570056</v>
      </c>
      <c r="J3053" t="s">
        <v>9678</v>
      </c>
      <c r="K3053">
        <f t="shared" si="47"/>
        <v>428.69555544540628</v>
      </c>
    </row>
    <row r="3054" spans="1:11" x14ac:dyDescent="0.2">
      <c r="A3054" t="s">
        <v>1340</v>
      </c>
      <c r="B3054" t="s">
        <v>5191</v>
      </c>
      <c r="C3054" t="s">
        <v>9679</v>
      </c>
      <c r="D3054" t="s">
        <v>9680</v>
      </c>
      <c r="E3054" t="s">
        <v>3122</v>
      </c>
      <c r="F3054" t="s">
        <v>24</v>
      </c>
      <c r="G3054" t="s">
        <v>24</v>
      </c>
      <c r="H3054">
        <f>10877*(1.01^10)</f>
        <v>12014.974858097674</v>
      </c>
      <c r="I3054">
        <f>44159*(1.01^10)</f>
        <v>48779.008436033393</v>
      </c>
      <c r="J3054" t="s">
        <v>9681</v>
      </c>
      <c r="K3054">
        <f t="shared" si="47"/>
        <v>199.42505326238447</v>
      </c>
    </row>
    <row r="3055" spans="1:11" x14ac:dyDescent="0.2">
      <c r="A3055" t="s">
        <v>1340</v>
      </c>
      <c r="B3055" t="s">
        <v>5191</v>
      </c>
      <c r="C3055" t="s">
        <v>9682</v>
      </c>
      <c r="D3055" t="s">
        <v>9683</v>
      </c>
      <c r="E3055" t="s">
        <v>51</v>
      </c>
      <c r="F3055" t="s">
        <v>5</v>
      </c>
      <c r="G3055" t="s">
        <v>24</v>
      </c>
      <c r="H3055">
        <f>17911*(1.01^10)</f>
        <v>19784.886888240089</v>
      </c>
      <c r="I3055">
        <f>73850*(1.01^10)</f>
        <v>81576.343961617473</v>
      </c>
      <c r="J3055" t="s">
        <v>9684</v>
      </c>
      <c r="K3055">
        <f t="shared" si="47"/>
        <v>227.93967444991264</v>
      </c>
    </row>
    <row r="3056" spans="1:11" x14ac:dyDescent="0.2">
      <c r="A3056" t="s">
        <v>1340</v>
      </c>
      <c r="B3056" t="s">
        <v>5191</v>
      </c>
      <c r="C3056" t="s">
        <v>9685</v>
      </c>
      <c r="D3056" t="s">
        <v>9686</v>
      </c>
      <c r="E3056" t="s">
        <v>1994</v>
      </c>
      <c r="F3056" t="s">
        <v>796</v>
      </c>
      <c r="G3056" t="s">
        <v>17</v>
      </c>
      <c r="H3056">
        <f>66165*(1.01^10)</f>
        <v>73087.322927832356</v>
      </c>
      <c r="I3056">
        <f>282828*(1.01^10)</f>
        <v>312418.0664858002</v>
      </c>
      <c r="J3056" t="s">
        <v>9687</v>
      </c>
      <c r="K3056">
        <f t="shared" si="47"/>
        <v>445.12199081269802</v>
      </c>
    </row>
    <row r="3057" spans="1:11" x14ac:dyDescent="0.2">
      <c r="A3057" t="s">
        <v>1340</v>
      </c>
      <c r="B3057" t="s">
        <v>3383</v>
      </c>
      <c r="C3057" t="s">
        <v>9688</v>
      </c>
      <c r="D3057" t="s">
        <v>9689</v>
      </c>
      <c r="E3057" t="s">
        <v>703</v>
      </c>
      <c r="F3057" t="s">
        <v>11</v>
      </c>
      <c r="G3057" t="s">
        <v>12</v>
      </c>
      <c r="H3057">
        <f>15686*(1.01^10)</f>
        <v>17327.102659200158</v>
      </c>
      <c r="I3057">
        <f>66385*(1.01^10)</f>
        <v>73330.339795422828</v>
      </c>
      <c r="J3057" t="s">
        <v>9690</v>
      </c>
      <c r="K3057">
        <f t="shared" si="47"/>
        <v>106.89487999470548</v>
      </c>
    </row>
    <row r="3058" spans="1:11" x14ac:dyDescent="0.2">
      <c r="A3058" t="s">
        <v>1340</v>
      </c>
      <c r="B3058" t="s">
        <v>3383</v>
      </c>
      <c r="C3058" t="s">
        <v>9691</v>
      </c>
      <c r="D3058" t="s">
        <v>9692</v>
      </c>
      <c r="E3058" t="s">
        <v>761</v>
      </c>
      <c r="F3058" t="s">
        <v>44</v>
      </c>
      <c r="G3058" t="s">
        <v>24</v>
      </c>
      <c r="H3058">
        <f>15302*(1.01^10)</f>
        <v>16902.927763042255</v>
      </c>
      <c r="I3058">
        <f>63421*(1.01^10)</f>
        <v>70056.239815704015</v>
      </c>
      <c r="J3058" t="s">
        <v>9693</v>
      </c>
      <c r="K3058">
        <f t="shared" si="47"/>
        <v>146.03062064786562</v>
      </c>
    </row>
    <row r="3059" spans="1:11" x14ac:dyDescent="0.2">
      <c r="A3059" t="s">
        <v>1340</v>
      </c>
      <c r="B3059" t="s">
        <v>3383</v>
      </c>
      <c r="C3059" t="s">
        <v>9694</v>
      </c>
      <c r="D3059" t="s">
        <v>9695</v>
      </c>
      <c r="E3059" t="s">
        <v>829</v>
      </c>
      <c r="F3059" t="s">
        <v>11</v>
      </c>
      <c r="G3059" t="s">
        <v>12</v>
      </c>
      <c r="H3059">
        <f>9310*(1.01^10)</f>
        <v>10284.031987578317</v>
      </c>
      <c r="I3059">
        <f>37838*(1.01^10)</f>
        <v>41796.691981309166</v>
      </c>
      <c r="J3059" t="s">
        <v>9696</v>
      </c>
      <c r="K3059">
        <f t="shared" si="47"/>
        <v>519.50242608030089</v>
      </c>
    </row>
    <row r="3060" spans="1:11" x14ac:dyDescent="0.2">
      <c r="A3060" t="s">
        <v>1340</v>
      </c>
      <c r="B3060" t="s">
        <v>3383</v>
      </c>
      <c r="C3060" t="s">
        <v>9697</v>
      </c>
      <c r="D3060" t="s">
        <v>9698</v>
      </c>
      <c r="E3060" t="s">
        <v>1195</v>
      </c>
      <c r="F3060" t="s">
        <v>427</v>
      </c>
      <c r="G3060" t="s">
        <v>24</v>
      </c>
      <c r="H3060">
        <f>14182*(1.01^10)</f>
        <v>15665.750982581705</v>
      </c>
      <c r="I3060">
        <f>55678*(1.01^10)</f>
        <v>61503.150698645055</v>
      </c>
      <c r="J3060" t="s">
        <v>9699</v>
      </c>
      <c r="K3060">
        <f t="shared" si="47"/>
        <v>173.44985399383481</v>
      </c>
    </row>
    <row r="3061" spans="1:11" x14ac:dyDescent="0.2">
      <c r="A3061" t="s">
        <v>1340</v>
      </c>
      <c r="B3061" t="s">
        <v>3383</v>
      </c>
      <c r="C3061" t="s">
        <v>9700</v>
      </c>
      <c r="D3061" t="s">
        <v>9701</v>
      </c>
      <c r="E3061" t="s">
        <v>274</v>
      </c>
      <c r="F3061" t="s">
        <v>17</v>
      </c>
      <c r="G3061" t="s">
        <v>24</v>
      </c>
      <c r="H3061">
        <f>4218*(1.01^10)</f>
        <v>4659.296124984462</v>
      </c>
      <c r="I3061">
        <f>16590*(1.01^10)</f>
        <v>18325.681060571886</v>
      </c>
      <c r="J3061" t="s">
        <v>9702</v>
      </c>
      <c r="K3061">
        <f t="shared" si="47"/>
        <v>944.17727321766858</v>
      </c>
    </row>
    <row r="3062" spans="1:11" x14ac:dyDescent="0.2">
      <c r="A3062" t="s">
        <v>1340</v>
      </c>
      <c r="B3062" t="s">
        <v>3383</v>
      </c>
      <c r="C3062" t="s">
        <v>9703</v>
      </c>
      <c r="D3062" t="s">
        <v>9704</v>
      </c>
      <c r="E3062" t="s">
        <v>185</v>
      </c>
      <c r="F3062" t="s">
        <v>108</v>
      </c>
      <c r="G3062" t="s">
        <v>12</v>
      </c>
      <c r="H3062">
        <f>7794*(1.01^10)</f>
        <v>8609.4248454549306</v>
      </c>
      <c r="I3062">
        <f>31421*(1.01^10)</f>
        <v>34708.331802545465</v>
      </c>
      <c r="J3062" t="s">
        <v>9705</v>
      </c>
      <c r="K3062">
        <f t="shared" si="47"/>
        <v>202.64907813339596</v>
      </c>
    </row>
    <row r="3063" spans="1:11" x14ac:dyDescent="0.2">
      <c r="A3063" t="s">
        <v>1340</v>
      </c>
      <c r="B3063" t="s">
        <v>3383</v>
      </c>
      <c r="C3063" t="s">
        <v>9706</v>
      </c>
      <c r="D3063" t="s">
        <v>9707</v>
      </c>
      <c r="E3063" t="s">
        <v>40</v>
      </c>
      <c r="F3063" t="s">
        <v>103</v>
      </c>
      <c r="G3063" t="s">
        <v>12</v>
      </c>
      <c r="H3063">
        <f>21928*(1.01^10)</f>
        <v>24222.153966016896</v>
      </c>
      <c r="I3063">
        <f>97968*(1.01^10)</f>
        <v>108217.62038228491</v>
      </c>
      <c r="J3063" t="s">
        <v>9708</v>
      </c>
      <c r="K3063">
        <f t="shared" si="47"/>
        <v>737.24629234818644</v>
      </c>
    </row>
    <row r="3064" spans="1:11" x14ac:dyDescent="0.2">
      <c r="A3064" t="s">
        <v>1340</v>
      </c>
      <c r="B3064" t="s">
        <v>3383</v>
      </c>
      <c r="C3064" t="s">
        <v>9709</v>
      </c>
      <c r="D3064" t="s">
        <v>9710</v>
      </c>
      <c r="E3064" t="s">
        <v>103</v>
      </c>
      <c r="F3064" t="s">
        <v>274</v>
      </c>
      <c r="G3064" t="s">
        <v>5</v>
      </c>
      <c r="H3064">
        <f>14306*(1.01^10)</f>
        <v>15802.724126132694</v>
      </c>
      <c r="I3064">
        <f>61938*(1.01^10)</f>
        <v>68418.085203719194</v>
      </c>
      <c r="J3064" t="s">
        <v>9711</v>
      </c>
      <c r="K3064">
        <f t="shared" si="47"/>
        <v>804.48449488565018</v>
      </c>
    </row>
    <row r="3065" spans="1:11" x14ac:dyDescent="0.2">
      <c r="A3065" t="s">
        <v>1340</v>
      </c>
      <c r="B3065" t="s">
        <v>3383</v>
      </c>
      <c r="C3065" t="s">
        <v>9712</v>
      </c>
      <c r="D3065" t="s">
        <v>9713</v>
      </c>
      <c r="E3065" t="s">
        <v>382</v>
      </c>
      <c r="F3065" t="s">
        <v>12</v>
      </c>
      <c r="G3065" t="s">
        <v>17</v>
      </c>
      <c r="H3065">
        <f>5795*(1.01^10)</f>
        <v>6401.2852167579313</v>
      </c>
      <c r="I3065">
        <f>25772*(1.01^10)</f>
        <v>28468.321416097569</v>
      </c>
      <c r="J3065" t="s">
        <v>9714</v>
      </c>
      <c r="K3065">
        <f t="shared" si="47"/>
        <v>982.20149358533013</v>
      </c>
    </row>
    <row r="3066" spans="1:11" x14ac:dyDescent="0.2">
      <c r="A3066" t="s">
        <v>1340</v>
      </c>
      <c r="B3066" t="s">
        <v>3383</v>
      </c>
      <c r="C3066" t="s">
        <v>9715</v>
      </c>
      <c r="D3066" t="s">
        <v>9716</v>
      </c>
      <c r="E3066" t="s">
        <v>744</v>
      </c>
      <c r="F3066" t="s">
        <v>17</v>
      </c>
      <c r="G3066" t="s">
        <v>11</v>
      </c>
      <c r="H3066">
        <f>11790*(1.01^10)</f>
        <v>13023.494858598104</v>
      </c>
      <c r="I3066">
        <f>50375*(1.01^10)</f>
        <v>55645.339567589443</v>
      </c>
      <c r="J3066" t="s">
        <v>9717</v>
      </c>
      <c r="K3066">
        <f t="shared" si="47"/>
        <v>1295.8067751004644</v>
      </c>
    </row>
    <row r="3067" spans="1:11" x14ac:dyDescent="0.2">
      <c r="A3067" t="s">
        <v>1340</v>
      </c>
      <c r="B3067" t="s">
        <v>3383</v>
      </c>
      <c r="C3067" t="s">
        <v>9718</v>
      </c>
      <c r="D3067" t="s">
        <v>9719</v>
      </c>
      <c r="E3067" t="s">
        <v>3122</v>
      </c>
      <c r="F3067" t="s">
        <v>44</v>
      </c>
      <c r="G3067" t="s">
        <v>11</v>
      </c>
      <c r="H3067">
        <f>17992*(1.01^10)</f>
        <v>19874.361280398396</v>
      </c>
      <c r="I3067">
        <f>78771*(1.01^10)</f>
        <v>87012.189440766015</v>
      </c>
      <c r="J3067" t="s">
        <v>9720</v>
      </c>
      <c r="K3067">
        <f t="shared" si="47"/>
        <v>452.21625109725659</v>
      </c>
    </row>
    <row r="3068" spans="1:11" x14ac:dyDescent="0.2">
      <c r="A3068" t="s">
        <v>1340</v>
      </c>
      <c r="B3068" t="s">
        <v>3383</v>
      </c>
      <c r="C3068" t="s">
        <v>9673</v>
      </c>
      <c r="D3068" t="s">
        <v>9674</v>
      </c>
      <c r="E3068" t="s">
        <v>17</v>
      </c>
      <c r="F3068" t="s">
        <v>24</v>
      </c>
      <c r="G3068" t="s">
        <v>24</v>
      </c>
      <c r="H3068">
        <f>272*(1.01^10)</f>
        <v>300.45721811184768</v>
      </c>
      <c r="I3068">
        <f>1098*(1.01^10)</f>
        <v>1212.8750937015029</v>
      </c>
      <c r="J3068" t="s">
        <v>9721</v>
      </c>
      <c r="K3068">
        <f t="shared" si="47"/>
        <v>31.046019348603913</v>
      </c>
    </row>
    <row r="3069" spans="1:11" x14ac:dyDescent="0.2">
      <c r="A3069" t="s">
        <v>1340</v>
      </c>
      <c r="B3069" t="s">
        <v>3383</v>
      </c>
      <c r="C3069" t="s">
        <v>9722</v>
      </c>
      <c r="D3069" t="s">
        <v>9723</v>
      </c>
      <c r="E3069" t="s">
        <v>287</v>
      </c>
      <c r="F3069" t="s">
        <v>11</v>
      </c>
      <c r="G3069" t="s">
        <v>12</v>
      </c>
      <c r="H3069">
        <f>34890*(1.01^10)</f>
        <v>38540.265955596937</v>
      </c>
      <c r="I3069">
        <f>155203*(1.01^10)</f>
        <v>171440.66773019521</v>
      </c>
      <c r="J3069" t="s">
        <v>9724</v>
      </c>
      <c r="K3069">
        <f t="shared" si="47"/>
        <v>753.9269205960436</v>
      </c>
    </row>
    <row r="3070" spans="1:11" x14ac:dyDescent="0.2">
      <c r="A3070" t="s">
        <v>1340</v>
      </c>
      <c r="B3070" t="s">
        <v>3383</v>
      </c>
      <c r="C3070" t="s">
        <v>9725</v>
      </c>
      <c r="D3070" t="s">
        <v>9726</v>
      </c>
      <c r="E3070" t="s">
        <v>619</v>
      </c>
      <c r="F3070" t="s">
        <v>11</v>
      </c>
      <c r="G3070" t="s">
        <v>24</v>
      </c>
      <c r="H3070">
        <f>14071*(1.01^10)</f>
        <v>15543.137926661062</v>
      </c>
      <c r="I3070">
        <f>61335*(1.01^10)</f>
        <v>67751.998062096245</v>
      </c>
      <c r="J3070" t="s">
        <v>9727</v>
      </c>
      <c r="K3070">
        <f t="shared" si="47"/>
        <v>232.11183845841026</v>
      </c>
    </row>
    <row r="3071" spans="1:11" x14ac:dyDescent="0.2">
      <c r="A3071" t="s">
        <v>1340</v>
      </c>
      <c r="B3071" t="s">
        <v>3383</v>
      </c>
      <c r="C3071" t="s">
        <v>9728</v>
      </c>
      <c r="D3071" t="s">
        <v>9729</v>
      </c>
      <c r="E3071" t="s">
        <v>16</v>
      </c>
      <c r="F3071" t="s">
        <v>5</v>
      </c>
      <c r="G3071" t="s">
        <v>24</v>
      </c>
      <c r="H3071">
        <f>8096*(1.01^10)</f>
        <v>8943.0207273291144</v>
      </c>
      <c r="I3071">
        <f>34314*(1.01^10)</f>
        <v>37904.00361136008</v>
      </c>
      <c r="J3071" t="s">
        <v>9730</v>
      </c>
      <c r="K3071">
        <f t="shared" si="47"/>
        <v>248.28733708862077</v>
      </c>
    </row>
    <row r="3072" spans="1:11" x14ac:dyDescent="0.2">
      <c r="A3072" t="s">
        <v>1340</v>
      </c>
      <c r="B3072" t="s">
        <v>3383</v>
      </c>
      <c r="C3072" t="s">
        <v>9731</v>
      </c>
      <c r="D3072" t="s">
        <v>9732</v>
      </c>
      <c r="E3072" t="s">
        <v>1328</v>
      </c>
      <c r="F3072" t="s">
        <v>108</v>
      </c>
      <c r="G3072" t="s">
        <v>24</v>
      </c>
      <c r="H3072">
        <f>24523*(1.01^10)</f>
        <v>27088.648381458974</v>
      </c>
      <c r="I3072">
        <f>103804*(1.01^10)</f>
        <v>114664.19510618469</v>
      </c>
      <c r="J3072" t="s">
        <v>9733</v>
      </c>
      <c r="K3072">
        <f t="shared" si="47"/>
        <v>282.68639996216672</v>
      </c>
    </row>
    <row r="3073" spans="1:11" x14ac:dyDescent="0.2">
      <c r="A3073" t="s">
        <v>1340</v>
      </c>
      <c r="B3073" t="s">
        <v>3383</v>
      </c>
      <c r="C3073" t="s">
        <v>9734</v>
      </c>
      <c r="D3073" t="s">
        <v>9735</v>
      </c>
      <c r="E3073" t="s">
        <v>589</v>
      </c>
      <c r="F3073" t="s">
        <v>405</v>
      </c>
      <c r="G3073" t="s">
        <v>24</v>
      </c>
      <c r="H3073">
        <f>12003*(1.01^10)</f>
        <v>13258.779371310691</v>
      </c>
      <c r="I3073">
        <f>51620*(1.01^10)</f>
        <v>57020.594113726387</v>
      </c>
      <c r="J3073" t="s">
        <v>9736</v>
      </c>
      <c r="K3073">
        <f t="shared" si="47"/>
        <v>140.02434094746835</v>
      </c>
    </row>
    <row r="3074" spans="1:11" x14ac:dyDescent="0.2">
      <c r="A3074" t="s">
        <v>1340</v>
      </c>
      <c r="B3074" t="s">
        <v>3383</v>
      </c>
      <c r="C3074" t="s">
        <v>9737</v>
      </c>
      <c r="D3074" t="s">
        <v>9738</v>
      </c>
      <c r="E3074" t="s">
        <v>679</v>
      </c>
      <c r="F3074" t="s">
        <v>108</v>
      </c>
      <c r="G3074" t="s">
        <v>24</v>
      </c>
      <c r="H3074">
        <f>13131*(1.01^10)</f>
        <v>14504.793128774529</v>
      </c>
      <c r="I3074">
        <f>56423*(1.01^10)</f>
        <v>62326.094182076406</v>
      </c>
      <c r="J3074" t="s">
        <v>9739</v>
      </c>
      <c r="K3074">
        <f t="shared" si="47"/>
        <v>170.23355863413471</v>
      </c>
    </row>
    <row r="3075" spans="1:11" x14ac:dyDescent="0.2">
      <c r="A3075" t="s">
        <v>1340</v>
      </c>
      <c r="B3075" t="s">
        <v>3383</v>
      </c>
      <c r="C3075" t="s">
        <v>9740</v>
      </c>
      <c r="D3075" t="s">
        <v>9741</v>
      </c>
      <c r="E3075" t="s">
        <v>839</v>
      </c>
      <c r="F3075" t="s">
        <v>356</v>
      </c>
      <c r="G3075" t="s">
        <v>12</v>
      </c>
      <c r="H3075">
        <f>13557*(1.01^10)</f>
        <v>14975.362154199704</v>
      </c>
      <c r="I3075">
        <f>56953*(1.01^10)</f>
        <v>62911.543908544343</v>
      </c>
      <c r="J3075" t="s">
        <v>9742</v>
      </c>
      <c r="K3075">
        <f t="shared" ref="K3075:K3138" si="48">I3075/J3075</f>
        <v>160.15559827474206</v>
      </c>
    </row>
    <row r="3076" spans="1:11" x14ac:dyDescent="0.2">
      <c r="A3076" t="s">
        <v>1340</v>
      </c>
      <c r="B3076" t="s">
        <v>3383</v>
      </c>
      <c r="C3076" t="s">
        <v>9743</v>
      </c>
      <c r="D3076" t="s">
        <v>9744</v>
      </c>
      <c r="E3076" t="s">
        <v>1027</v>
      </c>
      <c r="F3076" t="s">
        <v>405</v>
      </c>
      <c r="G3076" t="s">
        <v>24</v>
      </c>
      <c r="H3076">
        <f>3722*(1.01^10)</f>
        <v>4111.4035507805038</v>
      </c>
      <c r="I3076">
        <f>15777*(1.01^10)</f>
        <v>17427.623272612578</v>
      </c>
      <c r="J3076" t="s">
        <v>9745</v>
      </c>
      <c r="K3076">
        <f t="shared" si="48"/>
        <v>125.72181217041719</v>
      </c>
    </row>
    <row r="3077" spans="1:11" x14ac:dyDescent="0.2">
      <c r="A3077" t="s">
        <v>1340</v>
      </c>
      <c r="B3077" t="s">
        <v>3383</v>
      </c>
      <c r="C3077" t="s">
        <v>9746</v>
      </c>
      <c r="D3077" t="s">
        <v>9747</v>
      </c>
      <c r="E3077" t="s">
        <v>1912</v>
      </c>
      <c r="F3077" t="s">
        <v>744</v>
      </c>
      <c r="G3077" t="s">
        <v>24</v>
      </c>
      <c r="H3077">
        <f>10949*(1.01^10)</f>
        <v>12094.50765112728</v>
      </c>
      <c r="I3077">
        <f>49898*(1.01^10)</f>
        <v>55118.434813768297</v>
      </c>
      <c r="J3077" t="s">
        <v>9748</v>
      </c>
      <c r="K3077">
        <f t="shared" si="48"/>
        <v>97.766317667274961</v>
      </c>
    </row>
    <row r="3078" spans="1:11" x14ac:dyDescent="0.2">
      <c r="A3078" t="s">
        <v>1340</v>
      </c>
      <c r="B3078" t="s">
        <v>3383</v>
      </c>
      <c r="C3078" t="s">
        <v>9749</v>
      </c>
      <c r="D3078" t="s">
        <v>9750</v>
      </c>
      <c r="E3078" t="s">
        <v>1195</v>
      </c>
      <c r="F3078" t="s">
        <v>158</v>
      </c>
      <c r="G3078" t="s">
        <v>24</v>
      </c>
      <c r="H3078">
        <f>6746*(1.01^10)</f>
        <v>7451.7808580239871</v>
      </c>
      <c r="I3078">
        <f>29526*(1.01^10)</f>
        <v>32615.07287489123</v>
      </c>
      <c r="J3078" t="s">
        <v>9751</v>
      </c>
      <c r="K3078">
        <f t="shared" si="48"/>
        <v>47.137676664988064</v>
      </c>
    </row>
    <row r="3079" spans="1:11" x14ac:dyDescent="0.2">
      <c r="A3079" t="s">
        <v>1340</v>
      </c>
      <c r="B3079" t="s">
        <v>3383</v>
      </c>
      <c r="C3079" t="s">
        <v>9752</v>
      </c>
      <c r="D3079" t="s">
        <v>9753</v>
      </c>
      <c r="E3079" t="s">
        <v>324</v>
      </c>
      <c r="F3079" t="s">
        <v>5</v>
      </c>
      <c r="G3079" t="s">
        <v>24</v>
      </c>
      <c r="H3079">
        <f>16787*(1.01^10)</f>
        <v>18543.291619277894</v>
      </c>
      <c r="I3079">
        <f>71713*(1.01^10)</f>
        <v>79215.766479613725</v>
      </c>
      <c r="J3079" t="s">
        <v>9754</v>
      </c>
      <c r="K3079">
        <f t="shared" si="48"/>
        <v>193.08890649903876</v>
      </c>
    </row>
    <row r="3080" spans="1:11" x14ac:dyDescent="0.2">
      <c r="A3080" t="s">
        <v>1340</v>
      </c>
      <c r="B3080" t="s">
        <v>1029</v>
      </c>
      <c r="C3080" t="s">
        <v>9755</v>
      </c>
      <c r="D3080" t="s">
        <v>9756</v>
      </c>
      <c r="E3080" t="s">
        <v>977</v>
      </c>
      <c r="F3080" t="s">
        <v>318</v>
      </c>
      <c r="G3080" t="s">
        <v>24</v>
      </c>
      <c r="H3080">
        <f>9247*(1.01^10)</f>
        <v>10214.44079367741</v>
      </c>
      <c r="I3080">
        <f>38506*(1.01^10)</f>
        <v>42534.579561083847</v>
      </c>
      <c r="J3080" t="s">
        <v>9757</v>
      </c>
      <c r="K3080">
        <f t="shared" si="48"/>
        <v>92.18992538292926</v>
      </c>
    </row>
    <row r="3081" spans="1:11" x14ac:dyDescent="0.2">
      <c r="A3081" t="s">
        <v>1340</v>
      </c>
      <c r="B3081" t="s">
        <v>1029</v>
      </c>
      <c r="C3081" t="s">
        <v>9758</v>
      </c>
      <c r="D3081" t="s">
        <v>9759</v>
      </c>
      <c r="E3081" t="s">
        <v>396</v>
      </c>
      <c r="F3081" t="s">
        <v>56</v>
      </c>
      <c r="G3081" t="s">
        <v>12</v>
      </c>
      <c r="H3081">
        <f>19248*(1.01^10)</f>
        <v>21261.766669914869</v>
      </c>
      <c r="I3081">
        <f>77560*(1.01^10)</f>
        <v>85674.492046893036</v>
      </c>
      <c r="J3081" t="s">
        <v>9760</v>
      </c>
      <c r="K3081">
        <f t="shared" si="48"/>
        <v>154.92266278851693</v>
      </c>
    </row>
    <row r="3082" spans="1:11" x14ac:dyDescent="0.2">
      <c r="A3082" t="s">
        <v>1340</v>
      </c>
      <c r="B3082" t="s">
        <v>1029</v>
      </c>
      <c r="C3082" t="s">
        <v>9761</v>
      </c>
      <c r="D3082" t="s">
        <v>9762</v>
      </c>
      <c r="E3082" t="s">
        <v>269</v>
      </c>
      <c r="F3082" t="s">
        <v>72</v>
      </c>
      <c r="G3082" t="s">
        <v>24</v>
      </c>
      <c r="H3082">
        <f>6684*(1.01^10)</f>
        <v>7383.2942862484924</v>
      </c>
      <c r="I3082">
        <f>26348*(1.01^10)</f>
        <v>29104.583760334423</v>
      </c>
      <c r="J3082" t="s">
        <v>9763</v>
      </c>
      <c r="K3082">
        <f t="shared" si="48"/>
        <v>83.148783764424437</v>
      </c>
    </row>
    <row r="3083" spans="1:11" x14ac:dyDescent="0.2">
      <c r="A3083" t="s">
        <v>1340</v>
      </c>
      <c r="B3083" t="s">
        <v>1029</v>
      </c>
      <c r="C3083" t="s">
        <v>9764</v>
      </c>
      <c r="D3083" t="s">
        <v>9765</v>
      </c>
      <c r="E3083" t="s">
        <v>977</v>
      </c>
      <c r="F3083" t="s">
        <v>92</v>
      </c>
      <c r="G3083" t="s">
        <v>24</v>
      </c>
      <c r="H3083">
        <f>11254*(1.01^10)</f>
        <v>12431.417399377699</v>
      </c>
      <c r="I3083">
        <f>44036*(1.01^10)</f>
        <v>48643.139914607811</v>
      </c>
      <c r="J3083" t="s">
        <v>9766</v>
      </c>
      <c r="K3083">
        <f t="shared" si="48"/>
        <v>192.44930509819409</v>
      </c>
    </row>
    <row r="3084" spans="1:11" x14ac:dyDescent="0.2">
      <c r="A3084" t="s">
        <v>1340</v>
      </c>
      <c r="B3084" t="s">
        <v>1029</v>
      </c>
      <c r="C3084" t="s">
        <v>9767</v>
      </c>
      <c r="D3084" t="s">
        <v>9768</v>
      </c>
      <c r="E3084" t="s">
        <v>568</v>
      </c>
      <c r="F3084" t="s">
        <v>445</v>
      </c>
      <c r="G3084" t="s">
        <v>17</v>
      </c>
      <c r="H3084">
        <f>22613*(1.01^10)</f>
        <v>24978.820121923574</v>
      </c>
      <c r="I3084">
        <f>96214*(1.01^10)</f>
        <v>106280.11317431365</v>
      </c>
      <c r="J3084" t="s">
        <v>9769</v>
      </c>
      <c r="K3084">
        <f t="shared" si="48"/>
        <v>319.45288719565173</v>
      </c>
    </row>
    <row r="3085" spans="1:11" x14ac:dyDescent="0.2">
      <c r="A3085" t="s">
        <v>1340</v>
      </c>
      <c r="B3085" t="s">
        <v>1029</v>
      </c>
      <c r="C3085" t="s">
        <v>9770</v>
      </c>
      <c r="D3085" t="s">
        <v>9771</v>
      </c>
      <c r="E3085" t="s">
        <v>2777</v>
      </c>
      <c r="F3085" t="s">
        <v>382</v>
      </c>
      <c r="G3085" t="s">
        <v>24</v>
      </c>
      <c r="H3085">
        <f>29311*(1.01^10)</f>
        <v>32377.579117927824</v>
      </c>
      <c r="I3085">
        <f>125616*(1.01^10)</f>
        <v>138758.2129056539</v>
      </c>
      <c r="J3085" t="s">
        <v>9772</v>
      </c>
      <c r="K3085">
        <f t="shared" si="48"/>
        <v>622.20687313092833</v>
      </c>
    </row>
    <row r="3086" spans="1:11" x14ac:dyDescent="0.2">
      <c r="A3086" t="s">
        <v>1340</v>
      </c>
      <c r="B3086" t="s">
        <v>1029</v>
      </c>
      <c r="C3086" t="s">
        <v>9773</v>
      </c>
      <c r="D3086" t="s">
        <v>9774</v>
      </c>
      <c r="E3086" t="s">
        <v>829</v>
      </c>
      <c r="F3086" t="s">
        <v>24</v>
      </c>
      <c r="G3086" t="s">
        <v>12</v>
      </c>
      <c r="H3086">
        <f>13846*(1.01^10)</f>
        <v>15294.597948443541</v>
      </c>
      <c r="I3086">
        <f>60036*(1.01^10)</f>
        <v>66317.093921187086</v>
      </c>
      <c r="J3086" t="s">
        <v>9775</v>
      </c>
      <c r="K3086">
        <f t="shared" si="48"/>
        <v>1104.2650275094582</v>
      </c>
    </row>
    <row r="3087" spans="1:11" x14ac:dyDescent="0.2">
      <c r="A3087" t="s">
        <v>1340</v>
      </c>
      <c r="B3087" t="s">
        <v>1029</v>
      </c>
      <c r="C3087" t="s">
        <v>9776</v>
      </c>
      <c r="D3087" t="s">
        <v>9777</v>
      </c>
      <c r="E3087" t="s">
        <v>1580</v>
      </c>
      <c r="F3087" t="s">
        <v>17</v>
      </c>
      <c r="G3087" t="s">
        <v>12</v>
      </c>
      <c r="H3087">
        <f>16960*(1.01^10)</f>
        <v>18734.391246974032</v>
      </c>
      <c r="I3087">
        <f>71641*(1.01^10)</f>
        <v>79136.233686584121</v>
      </c>
      <c r="J3087" t="s">
        <v>9778</v>
      </c>
      <c r="K3087">
        <f t="shared" si="48"/>
        <v>966.97213967011612</v>
      </c>
    </row>
    <row r="3088" spans="1:11" x14ac:dyDescent="0.2">
      <c r="A3088" t="s">
        <v>1340</v>
      </c>
      <c r="B3088" t="s">
        <v>1029</v>
      </c>
      <c r="C3088" t="s">
        <v>9779</v>
      </c>
      <c r="D3088" t="s">
        <v>9780</v>
      </c>
      <c r="E3088" t="s">
        <v>394</v>
      </c>
      <c r="F3088" t="s">
        <v>6</v>
      </c>
      <c r="G3088" t="s">
        <v>24</v>
      </c>
      <c r="H3088">
        <f>11493*(1.01^10)</f>
        <v>12695.422087350977</v>
      </c>
      <c r="I3088">
        <f>48977*(1.01^10)</f>
        <v>54101.077836264572</v>
      </c>
      <c r="J3088" t="s">
        <v>9781</v>
      </c>
      <c r="K3088">
        <f t="shared" si="48"/>
        <v>233.28948913214739</v>
      </c>
    </row>
    <row r="3089" spans="1:11" x14ac:dyDescent="0.2">
      <c r="A3089" t="s">
        <v>1340</v>
      </c>
      <c r="B3089" t="s">
        <v>1029</v>
      </c>
      <c r="C3089" t="s">
        <v>9782</v>
      </c>
      <c r="D3089" t="s">
        <v>9783</v>
      </c>
      <c r="E3089" t="s">
        <v>608</v>
      </c>
      <c r="F3089" t="s">
        <v>44</v>
      </c>
      <c r="G3089" t="s">
        <v>12</v>
      </c>
      <c r="H3089">
        <f>28465*(1.01^10)</f>
        <v>31443.068799829944</v>
      </c>
      <c r="I3089">
        <f>116027*(1.01^10)</f>
        <v>128165.99134508586</v>
      </c>
      <c r="J3089" t="s">
        <v>9784</v>
      </c>
      <c r="K3089">
        <f t="shared" si="48"/>
        <v>235.65074795412107</v>
      </c>
    </row>
    <row r="3090" spans="1:11" x14ac:dyDescent="0.2">
      <c r="A3090" t="s">
        <v>1340</v>
      </c>
      <c r="B3090" t="s">
        <v>1029</v>
      </c>
      <c r="C3090" t="s">
        <v>9785</v>
      </c>
      <c r="D3090" t="s">
        <v>9786</v>
      </c>
      <c r="E3090" t="s">
        <v>1303</v>
      </c>
      <c r="F3090" t="s">
        <v>744</v>
      </c>
      <c r="G3090" t="s">
        <v>24</v>
      </c>
      <c r="H3090">
        <f>25788*(1.01^10)</f>
        <v>28485.995370104149</v>
      </c>
      <c r="I3090">
        <f>106909*(1.01^10)</f>
        <v>118094.04680558649</v>
      </c>
      <c r="J3090" t="s">
        <v>9787</v>
      </c>
      <c r="K3090">
        <f t="shared" si="48"/>
        <v>406.95144501240065</v>
      </c>
    </row>
    <row r="3091" spans="1:11" x14ac:dyDescent="0.2">
      <c r="A3091" t="s">
        <v>1340</v>
      </c>
      <c r="B3091" t="s">
        <v>1029</v>
      </c>
      <c r="C3091" t="s">
        <v>9788</v>
      </c>
      <c r="D3091" t="s">
        <v>9789</v>
      </c>
      <c r="E3091" t="s">
        <v>848</v>
      </c>
      <c r="F3091" t="s">
        <v>5</v>
      </c>
      <c r="G3091" t="s">
        <v>11</v>
      </c>
      <c r="H3091">
        <f>33406*(1.01^10)</f>
        <v>36901.006721486709</v>
      </c>
      <c r="I3091">
        <f>150919*(1.01^10)</f>
        <v>166708.46654493362</v>
      </c>
      <c r="J3091" t="s">
        <v>9790</v>
      </c>
      <c r="K3091">
        <f t="shared" si="48"/>
        <v>327.36710712474701</v>
      </c>
    </row>
    <row r="3092" spans="1:11" x14ac:dyDescent="0.2">
      <c r="A3092" t="s">
        <v>1340</v>
      </c>
      <c r="B3092" t="s">
        <v>1594</v>
      </c>
      <c r="C3092" t="s">
        <v>9791</v>
      </c>
      <c r="D3092" t="s">
        <v>9792</v>
      </c>
      <c r="E3092" t="s">
        <v>320</v>
      </c>
      <c r="F3092" t="s">
        <v>318</v>
      </c>
      <c r="G3092" t="s">
        <v>24</v>
      </c>
      <c r="H3092">
        <f>20808*(1.01^10)</f>
        <v>22984.977185556349</v>
      </c>
      <c r="I3092">
        <f>90794*(1.01^10)</f>
        <v>100293.06125458493</v>
      </c>
      <c r="J3092" t="s">
        <v>9793</v>
      </c>
      <c r="K3092">
        <f t="shared" si="48"/>
        <v>584.11099901990974</v>
      </c>
    </row>
    <row r="3093" spans="1:11" x14ac:dyDescent="0.2">
      <c r="A3093" t="s">
        <v>1340</v>
      </c>
      <c r="B3093" t="s">
        <v>1594</v>
      </c>
      <c r="C3093" t="s">
        <v>9794</v>
      </c>
      <c r="D3093" t="s">
        <v>9795</v>
      </c>
      <c r="E3093" t="s">
        <v>703</v>
      </c>
      <c r="F3093" t="s">
        <v>382</v>
      </c>
      <c r="G3093" t="s">
        <v>24</v>
      </c>
      <c r="H3093">
        <f>21711*(1.01^10)</f>
        <v>23982.450964802665</v>
      </c>
      <c r="I3093">
        <f>97166*(1.01^10)</f>
        <v>107331.71343770513</v>
      </c>
      <c r="J3093" t="s">
        <v>9796</v>
      </c>
      <c r="K3093">
        <f t="shared" si="48"/>
        <v>439.64666861193132</v>
      </c>
    </row>
    <row r="3094" spans="1:11" x14ac:dyDescent="0.2">
      <c r="A3094" t="s">
        <v>1340</v>
      </c>
      <c r="B3094" t="s">
        <v>1594</v>
      </c>
      <c r="C3094" t="s">
        <v>9797</v>
      </c>
      <c r="D3094" t="s">
        <v>9798</v>
      </c>
      <c r="E3094" t="s">
        <v>324</v>
      </c>
      <c r="F3094" t="s">
        <v>158</v>
      </c>
      <c r="G3094" t="s">
        <v>12</v>
      </c>
      <c r="H3094">
        <f>28854*(1.01^10)</f>
        <v>31872.766806614902</v>
      </c>
      <c r="I3094">
        <f>139978*(1.01^10)</f>
        <v>154622.79587080961</v>
      </c>
      <c r="J3094" t="s">
        <v>9799</v>
      </c>
      <c r="K3094">
        <f t="shared" si="48"/>
        <v>727.30146075648918</v>
      </c>
    </row>
    <row r="3095" spans="1:11" x14ac:dyDescent="0.2">
      <c r="A3095" t="s">
        <v>1340</v>
      </c>
      <c r="B3095" t="s">
        <v>1594</v>
      </c>
      <c r="C3095" t="s">
        <v>9800</v>
      </c>
      <c r="D3095" t="s">
        <v>9801</v>
      </c>
      <c r="E3095" t="s">
        <v>121</v>
      </c>
      <c r="F3095" t="s">
        <v>158</v>
      </c>
      <c r="G3095" t="s">
        <v>12</v>
      </c>
      <c r="H3095">
        <f>12457*(1.01^10)</f>
        <v>13760.277816247377</v>
      </c>
      <c r="I3095">
        <f>62040*(1.01^10)</f>
        <v>68530.75666051115</v>
      </c>
      <c r="J3095" t="s">
        <v>9802</v>
      </c>
      <c r="K3095">
        <f t="shared" si="48"/>
        <v>537.32516216394856</v>
      </c>
    </row>
    <row r="3096" spans="1:11" x14ac:dyDescent="0.2">
      <c r="A3096" t="s">
        <v>1340</v>
      </c>
      <c r="B3096" t="s">
        <v>1594</v>
      </c>
      <c r="C3096" t="s">
        <v>9803</v>
      </c>
      <c r="D3096" t="s">
        <v>9804</v>
      </c>
      <c r="E3096" t="s">
        <v>131</v>
      </c>
      <c r="F3096" t="s">
        <v>152</v>
      </c>
      <c r="G3096" t="s">
        <v>24</v>
      </c>
      <c r="H3096">
        <f>11380*(1.01^10)</f>
        <v>12570.59978717951</v>
      </c>
      <c r="I3096">
        <f>55468*(1.01^10)</f>
        <v>61271.180052308708</v>
      </c>
      <c r="J3096" t="s">
        <v>9805</v>
      </c>
      <c r="K3096">
        <f t="shared" si="48"/>
        <v>277.64718167622215</v>
      </c>
    </row>
    <row r="3097" spans="1:11" x14ac:dyDescent="0.2">
      <c r="A3097" t="s">
        <v>1340</v>
      </c>
      <c r="B3097" t="s">
        <v>1594</v>
      </c>
      <c r="C3097" t="s">
        <v>9806</v>
      </c>
      <c r="D3097" t="s">
        <v>9807</v>
      </c>
      <c r="E3097" t="s">
        <v>382</v>
      </c>
      <c r="F3097" t="s">
        <v>24</v>
      </c>
      <c r="G3097" t="s">
        <v>24</v>
      </c>
      <c r="H3097">
        <f>3590*(1.01^10)</f>
        <v>3965.5934302262249</v>
      </c>
      <c r="I3097">
        <f>17670*(1.01^10)</f>
        <v>19518.672956015987</v>
      </c>
      <c r="J3097" t="s">
        <v>9808</v>
      </c>
      <c r="K3097">
        <f t="shared" si="48"/>
        <v>1117.8842981622097</v>
      </c>
    </row>
    <row r="3098" spans="1:11" x14ac:dyDescent="0.2">
      <c r="A3098" t="s">
        <v>1340</v>
      </c>
      <c r="B3098" t="s">
        <v>1594</v>
      </c>
      <c r="C3098" t="s">
        <v>9809</v>
      </c>
      <c r="D3098" t="s">
        <v>9810</v>
      </c>
      <c r="E3098" t="s">
        <v>92</v>
      </c>
      <c r="F3098" t="s">
        <v>24</v>
      </c>
      <c r="G3098" t="s">
        <v>24</v>
      </c>
      <c r="H3098">
        <f>1051*(1.01^10)</f>
        <v>1160.9578538071762</v>
      </c>
      <c r="I3098">
        <f>5117*(1.01^10)</f>
        <v>5652.3514157291347</v>
      </c>
      <c r="J3098" t="s">
        <v>9811</v>
      </c>
      <c r="K3098">
        <f t="shared" si="48"/>
        <v>450.86484738270883</v>
      </c>
    </row>
    <row r="3099" spans="1:11" x14ac:dyDescent="0.2">
      <c r="A3099" t="s">
        <v>1340</v>
      </c>
      <c r="B3099" t="s">
        <v>1594</v>
      </c>
      <c r="C3099" t="s">
        <v>9812</v>
      </c>
      <c r="D3099" t="s">
        <v>9813</v>
      </c>
      <c r="E3099" t="s">
        <v>410</v>
      </c>
      <c r="F3099" t="s">
        <v>17</v>
      </c>
      <c r="G3099" t="s">
        <v>12</v>
      </c>
      <c r="H3099">
        <f>19535*(1.01^10)</f>
        <v>21578.793219907886</v>
      </c>
      <c r="I3099">
        <f>91728*(1.01^10)</f>
        <v>101324.77831971899</v>
      </c>
      <c r="J3099" t="s">
        <v>9814</v>
      </c>
      <c r="K3099">
        <f t="shared" si="48"/>
        <v>1117.4048307336914</v>
      </c>
    </row>
    <row r="3100" spans="1:11" x14ac:dyDescent="0.2">
      <c r="A3100" t="s">
        <v>1340</v>
      </c>
      <c r="B3100" t="s">
        <v>1594</v>
      </c>
      <c r="C3100" t="s">
        <v>9815</v>
      </c>
      <c r="D3100" t="s">
        <v>9816</v>
      </c>
      <c r="E3100" t="s">
        <v>611</v>
      </c>
      <c r="F3100" t="s">
        <v>17</v>
      </c>
      <c r="G3100" t="s">
        <v>11</v>
      </c>
      <c r="H3100">
        <f>29771*(1.01^10)</f>
        <v>32885.705295616979</v>
      </c>
      <c r="I3100">
        <f>132796*(1.01^10)</f>
        <v>146689.39976610633</v>
      </c>
      <c r="J3100" t="s">
        <v>9817</v>
      </c>
      <c r="K3100">
        <f t="shared" si="48"/>
        <v>862.8095414419879</v>
      </c>
    </row>
    <row r="3101" spans="1:11" x14ac:dyDescent="0.2">
      <c r="A3101" t="s">
        <v>1340</v>
      </c>
      <c r="B3101" t="s">
        <v>1594</v>
      </c>
      <c r="C3101" t="s">
        <v>9818</v>
      </c>
      <c r="D3101" t="s">
        <v>9819</v>
      </c>
      <c r="E3101" t="s">
        <v>12</v>
      </c>
      <c r="F3101" t="s">
        <v>24</v>
      </c>
      <c r="G3101" t="s">
        <v>24</v>
      </c>
      <c r="H3101">
        <f>30*(1.01^10)</f>
        <v>33.138663762336144</v>
      </c>
      <c r="I3101">
        <f>189*(1.01^10)</f>
        <v>208.77358170271771</v>
      </c>
      <c r="J3101" t="s">
        <v>9820</v>
      </c>
      <c r="K3101">
        <f t="shared" si="48"/>
        <v>101.72282446188854</v>
      </c>
    </row>
    <row r="3102" spans="1:11" x14ac:dyDescent="0.2">
      <c r="A3102" t="s">
        <v>1340</v>
      </c>
      <c r="B3102" t="s">
        <v>1594</v>
      </c>
      <c r="C3102" t="s">
        <v>9821</v>
      </c>
      <c r="D3102" t="s">
        <v>9822</v>
      </c>
      <c r="E3102" t="s">
        <v>445</v>
      </c>
      <c r="F3102" t="s">
        <v>11</v>
      </c>
      <c r="G3102" t="s">
        <v>24</v>
      </c>
      <c r="H3102">
        <f>2606*(1.01^10)</f>
        <v>2878.6452588215998</v>
      </c>
      <c r="I3102">
        <f>13445*(1.01^10)</f>
        <v>14851.644476153648</v>
      </c>
      <c r="J3102" t="s">
        <v>9823</v>
      </c>
      <c r="K3102">
        <f t="shared" si="48"/>
        <v>434.09331354317283</v>
      </c>
    </row>
    <row r="3103" spans="1:11" x14ac:dyDescent="0.2">
      <c r="A3103" t="s">
        <v>1340</v>
      </c>
      <c r="B3103" t="s">
        <v>1594</v>
      </c>
      <c r="C3103" t="s">
        <v>9824</v>
      </c>
      <c r="D3103" t="s">
        <v>9825</v>
      </c>
      <c r="E3103" t="s">
        <v>56</v>
      </c>
      <c r="F3103" t="s">
        <v>17</v>
      </c>
      <c r="G3103" t="s">
        <v>24</v>
      </c>
      <c r="H3103">
        <f>2569*(1.01^10)</f>
        <v>2837.7742401813848</v>
      </c>
      <c r="I3103">
        <f>12941*(1.01^10)</f>
        <v>14294.914924946401</v>
      </c>
      <c r="J3103" t="s">
        <v>9826</v>
      </c>
      <c r="K3103">
        <f t="shared" si="48"/>
        <v>571.27507773255081</v>
      </c>
    </row>
    <row r="3104" spans="1:11" x14ac:dyDescent="0.2">
      <c r="A3104" t="s">
        <v>1340</v>
      </c>
      <c r="B3104" t="s">
        <v>1594</v>
      </c>
      <c r="C3104" t="s">
        <v>9827</v>
      </c>
      <c r="D3104" t="s">
        <v>9828</v>
      </c>
      <c r="E3104" t="s">
        <v>5</v>
      </c>
      <c r="F3104" t="s">
        <v>17</v>
      </c>
      <c r="G3104" t="s">
        <v>24</v>
      </c>
      <c r="H3104">
        <f>477*(1.01^10)</f>
        <v>526.90475382114471</v>
      </c>
      <c r="I3104">
        <f>2572*(1.01^10)</f>
        <v>2841.0881065576186</v>
      </c>
      <c r="J3104" t="s">
        <v>9829</v>
      </c>
      <c r="K3104">
        <f t="shared" si="48"/>
        <v>182.12001706544117</v>
      </c>
    </row>
    <row r="3105" spans="1:11" x14ac:dyDescent="0.2">
      <c r="A3105" t="s">
        <v>1340</v>
      </c>
      <c r="B3105" t="s">
        <v>1594</v>
      </c>
      <c r="C3105" t="s">
        <v>9830</v>
      </c>
      <c r="D3105" t="s">
        <v>9831</v>
      </c>
      <c r="E3105" t="s">
        <v>44</v>
      </c>
      <c r="F3105" t="s">
        <v>12</v>
      </c>
      <c r="G3105" t="s">
        <v>24</v>
      </c>
      <c r="H3105">
        <f>3447*(1.01^10)</f>
        <v>3807.6324662924226</v>
      </c>
      <c r="I3105">
        <f>16406*(1.01^10)</f>
        <v>18122.430589496224</v>
      </c>
      <c r="J3105" t="s">
        <v>9832</v>
      </c>
      <c r="K3105">
        <f t="shared" si="48"/>
        <v>863.84783731424648</v>
      </c>
    </row>
    <row r="3106" spans="1:11" x14ac:dyDescent="0.2">
      <c r="A3106" t="s">
        <v>1340</v>
      </c>
      <c r="B3106" t="s">
        <v>1594</v>
      </c>
      <c r="C3106" t="s">
        <v>9833</v>
      </c>
      <c r="D3106" t="s">
        <v>9834</v>
      </c>
      <c r="E3106" t="s">
        <v>164</v>
      </c>
      <c r="F3106" t="s">
        <v>108</v>
      </c>
      <c r="G3106" t="s">
        <v>12</v>
      </c>
      <c r="H3106">
        <f>26269*(1.01^10)</f>
        <v>29017.318612426938</v>
      </c>
      <c r="I3106">
        <f>126405*(1.01^10)</f>
        <v>139629.75976260332</v>
      </c>
      <c r="J3106" t="s">
        <v>9835</v>
      </c>
      <c r="K3106">
        <f t="shared" si="48"/>
        <v>1027.737635001477</v>
      </c>
    </row>
    <row r="3107" spans="1:11" x14ac:dyDescent="0.2">
      <c r="A3107" t="s">
        <v>1340</v>
      </c>
      <c r="B3107" t="s">
        <v>1594</v>
      </c>
      <c r="C3107" t="s">
        <v>9836</v>
      </c>
      <c r="D3107" t="s">
        <v>9837</v>
      </c>
      <c r="E3107" t="s">
        <v>28</v>
      </c>
      <c r="F3107" t="s">
        <v>318</v>
      </c>
      <c r="G3107" t="s">
        <v>24</v>
      </c>
      <c r="H3107">
        <f>17327*(1.01^10)</f>
        <v>19139.787566999945</v>
      </c>
      <c r="I3107">
        <f>84608*(1.01^10)</f>
        <v>93459.868786791209</v>
      </c>
      <c r="J3107" t="s">
        <v>9838</v>
      </c>
      <c r="K3107">
        <f t="shared" si="48"/>
        <v>476.72054280636638</v>
      </c>
    </row>
    <row r="3108" spans="1:11" x14ac:dyDescent="0.2">
      <c r="A3108" t="s">
        <v>1340</v>
      </c>
      <c r="B3108" t="s">
        <v>1594</v>
      </c>
      <c r="C3108" t="s">
        <v>9839</v>
      </c>
      <c r="D3108" t="s">
        <v>9840</v>
      </c>
      <c r="E3108" t="s">
        <v>674</v>
      </c>
      <c r="F3108" t="s">
        <v>382</v>
      </c>
      <c r="G3108" t="s">
        <v>24</v>
      </c>
      <c r="H3108">
        <f>7467*(1.01^10)</f>
        <v>8248.2134104454653</v>
      </c>
      <c r="I3108">
        <f>37980*(1.01^10)</f>
        <v>41953.548323117553</v>
      </c>
      <c r="J3108" t="s">
        <v>9841</v>
      </c>
      <c r="K3108">
        <f t="shared" si="48"/>
        <v>819.4338637207677</v>
      </c>
    </row>
    <row r="3109" spans="1:11" x14ac:dyDescent="0.2">
      <c r="A3109" t="s">
        <v>1340</v>
      </c>
      <c r="B3109" t="s">
        <v>1594</v>
      </c>
      <c r="C3109" t="s">
        <v>9842</v>
      </c>
      <c r="D3109" t="s">
        <v>9843</v>
      </c>
      <c r="E3109" t="s">
        <v>479</v>
      </c>
      <c r="F3109" t="s">
        <v>1340</v>
      </c>
      <c r="G3109" t="s">
        <v>17</v>
      </c>
      <c r="H3109">
        <f>31410*(1.01^10)</f>
        <v>34696.18095916594</v>
      </c>
      <c r="I3109">
        <f>152037*(1.01^10)</f>
        <v>167943.43408114335</v>
      </c>
      <c r="J3109" t="s">
        <v>9844</v>
      </c>
      <c r="K3109">
        <f t="shared" si="48"/>
        <v>671.5951933291002</v>
      </c>
    </row>
    <row r="3110" spans="1:11" x14ac:dyDescent="0.2">
      <c r="A3110" t="s">
        <v>1340</v>
      </c>
      <c r="B3110" t="s">
        <v>1594</v>
      </c>
      <c r="C3110" t="s">
        <v>9845</v>
      </c>
      <c r="D3110" t="s">
        <v>9846</v>
      </c>
      <c r="E3110" t="s">
        <v>404</v>
      </c>
      <c r="F3110" t="s">
        <v>92</v>
      </c>
      <c r="G3110" t="s">
        <v>17</v>
      </c>
      <c r="H3110">
        <f>24051*(1.01^10)</f>
        <v>26567.266738264887</v>
      </c>
      <c r="I3110">
        <f>113758*(1.01^10)</f>
        <v>125659.60374252783</v>
      </c>
      <c r="J3110" t="s">
        <v>9847</v>
      </c>
      <c r="K3110">
        <f t="shared" si="48"/>
        <v>773.47403878397051</v>
      </c>
    </row>
    <row r="3111" spans="1:11" x14ac:dyDescent="0.2">
      <c r="A3111" t="s">
        <v>1340</v>
      </c>
      <c r="B3111" t="s">
        <v>1594</v>
      </c>
      <c r="C3111" t="s">
        <v>9848</v>
      </c>
      <c r="D3111" t="s">
        <v>9849</v>
      </c>
      <c r="E3111" t="s">
        <v>1401</v>
      </c>
      <c r="F3111" t="s">
        <v>164</v>
      </c>
      <c r="G3111" t="s">
        <v>12</v>
      </c>
      <c r="H3111">
        <f>23388*(1.01^10)</f>
        <v>25834.902269117258</v>
      </c>
      <c r="I3111">
        <f>113212*(1.01^10)</f>
        <v>125056.48006205331</v>
      </c>
      <c r="J3111" t="s">
        <v>9850</v>
      </c>
      <c r="K3111">
        <f t="shared" si="48"/>
        <v>267.86711011847308</v>
      </c>
    </row>
    <row r="3112" spans="1:11" x14ac:dyDescent="0.2">
      <c r="A3112" t="s">
        <v>1340</v>
      </c>
      <c r="B3112" t="s">
        <v>1594</v>
      </c>
      <c r="C3112" t="s">
        <v>9851</v>
      </c>
      <c r="D3112" t="s">
        <v>9852</v>
      </c>
      <c r="E3112" t="s">
        <v>24</v>
      </c>
      <c r="F3112" t="s">
        <v>24</v>
      </c>
      <c r="G3112" t="s">
        <v>12</v>
      </c>
      <c r="H3112">
        <f>206014*(1.01^10)</f>
        <v>227567.62254446393</v>
      </c>
      <c r="I3112">
        <f>885363*(1.01^10)</f>
        <v>977991.55882044043</v>
      </c>
      <c r="J3112" t="s">
        <v>9853</v>
      </c>
      <c r="K3112">
        <f t="shared" si="48"/>
        <v>5277.8821307093385</v>
      </c>
    </row>
    <row r="3113" spans="1:11" x14ac:dyDescent="0.2">
      <c r="A3113" t="s">
        <v>1340</v>
      </c>
      <c r="B3113" t="s">
        <v>926</v>
      </c>
      <c r="C3113" t="s">
        <v>9854</v>
      </c>
      <c r="D3113" t="s">
        <v>9855</v>
      </c>
      <c r="E3113" t="s">
        <v>479</v>
      </c>
      <c r="F3113" t="s">
        <v>152</v>
      </c>
      <c r="G3113" t="s">
        <v>12</v>
      </c>
      <c r="H3113">
        <f>23537*(1.01^10)</f>
        <v>25999.490965803525</v>
      </c>
      <c r="I3113">
        <f>109291*(1.01^10)</f>
        <v>120725.25670831598</v>
      </c>
      <c r="J3113" t="s">
        <v>9856</v>
      </c>
      <c r="K3113">
        <f t="shared" si="48"/>
        <v>663.15199911235891</v>
      </c>
    </row>
    <row r="3114" spans="1:11" x14ac:dyDescent="0.2">
      <c r="A3114" t="s">
        <v>1340</v>
      </c>
      <c r="B3114" t="s">
        <v>926</v>
      </c>
      <c r="C3114" t="s">
        <v>9857</v>
      </c>
      <c r="D3114" t="s">
        <v>9858</v>
      </c>
      <c r="E3114" t="s">
        <v>350</v>
      </c>
      <c r="F3114" t="s">
        <v>382</v>
      </c>
      <c r="G3114" t="s">
        <v>12</v>
      </c>
      <c r="H3114">
        <f>33305*(1.01^10)</f>
        <v>36789.439886820175</v>
      </c>
      <c r="I3114">
        <f>159750*(1.01^10)</f>
        <v>176463.38453443995</v>
      </c>
      <c r="J3114" t="s">
        <v>9859</v>
      </c>
      <c r="K3114">
        <f t="shared" si="48"/>
        <v>881.44951331515233</v>
      </c>
    </row>
    <row r="3115" spans="1:11" x14ac:dyDescent="0.2">
      <c r="A3115" t="s">
        <v>1340</v>
      </c>
      <c r="B3115" t="s">
        <v>926</v>
      </c>
      <c r="C3115" t="s">
        <v>9860</v>
      </c>
      <c r="D3115" t="s">
        <v>9861</v>
      </c>
      <c r="E3115" t="s">
        <v>5142</v>
      </c>
      <c r="F3115" t="s">
        <v>11</v>
      </c>
      <c r="G3115" t="s">
        <v>12</v>
      </c>
      <c r="H3115">
        <f>47601*(1.01^10)</f>
        <v>52581.117791698758</v>
      </c>
      <c r="I3115">
        <f>208139*(1.01^10)</f>
        <v>229914.94456096276</v>
      </c>
      <c r="J3115" t="s">
        <v>9862</v>
      </c>
      <c r="K3115">
        <f t="shared" si="48"/>
        <v>891.21315149462976</v>
      </c>
    </row>
    <row r="3116" spans="1:11" x14ac:dyDescent="0.2">
      <c r="A3116" t="s">
        <v>1340</v>
      </c>
      <c r="B3116" t="s">
        <v>926</v>
      </c>
      <c r="C3116" t="s">
        <v>9863</v>
      </c>
      <c r="D3116" t="s">
        <v>9864</v>
      </c>
      <c r="E3116" t="s">
        <v>1054</v>
      </c>
      <c r="F3116" t="s">
        <v>92</v>
      </c>
      <c r="G3116" t="s">
        <v>24</v>
      </c>
      <c r="H3116">
        <f>23684*(1.01^10)</f>
        <v>26161.870418238974</v>
      </c>
      <c r="I3116">
        <f>100525*(1.01^10)</f>
        <v>111042.13915696136</v>
      </c>
      <c r="J3116" t="s">
        <v>9865</v>
      </c>
      <c r="K3116">
        <f t="shared" si="48"/>
        <v>1063.4494377375936</v>
      </c>
    </row>
    <row r="3117" spans="1:11" x14ac:dyDescent="0.2">
      <c r="A3117" t="s">
        <v>1340</v>
      </c>
      <c r="B3117" t="s">
        <v>926</v>
      </c>
      <c r="C3117" t="s">
        <v>9866</v>
      </c>
      <c r="D3117" t="s">
        <v>9867</v>
      </c>
      <c r="E3117" t="s">
        <v>498</v>
      </c>
      <c r="F3117" t="s">
        <v>92</v>
      </c>
      <c r="G3117" t="s">
        <v>24</v>
      </c>
      <c r="H3117">
        <f>15714*(1.01^10)</f>
        <v>17358.032078711673</v>
      </c>
      <c r="I3117">
        <f>67748*(1.01^10)</f>
        <v>74835.939752358303</v>
      </c>
      <c r="J3117" t="s">
        <v>9868</v>
      </c>
      <c r="K3117">
        <f t="shared" si="48"/>
        <v>562.48211663379323</v>
      </c>
    </row>
    <row r="3118" spans="1:11" x14ac:dyDescent="0.2">
      <c r="A3118" t="s">
        <v>1340</v>
      </c>
      <c r="B3118" t="s">
        <v>926</v>
      </c>
      <c r="C3118" t="s">
        <v>9869</v>
      </c>
      <c r="D3118" t="s">
        <v>9870</v>
      </c>
      <c r="E3118" t="s">
        <v>537</v>
      </c>
      <c r="F3118" t="s">
        <v>108</v>
      </c>
      <c r="G3118" t="s">
        <v>12</v>
      </c>
      <c r="H3118">
        <f>11860*(1.01^10)</f>
        <v>13100.818407376888</v>
      </c>
      <c r="I3118">
        <f>54999*(1.01^10)</f>
        <v>60753.11227549085</v>
      </c>
      <c r="J3118" t="s">
        <v>9871</v>
      </c>
      <c r="K3118">
        <f t="shared" si="48"/>
        <v>387.28975935521657</v>
      </c>
    </row>
    <row r="3119" spans="1:11" x14ac:dyDescent="0.2">
      <c r="A3119" t="s">
        <v>1340</v>
      </c>
      <c r="B3119" t="s">
        <v>926</v>
      </c>
      <c r="C3119" t="s">
        <v>9872</v>
      </c>
      <c r="D3119" t="s">
        <v>9873</v>
      </c>
      <c r="E3119" t="s">
        <v>703</v>
      </c>
      <c r="F3119" t="s">
        <v>744</v>
      </c>
      <c r="G3119" t="s">
        <v>24</v>
      </c>
      <c r="H3119">
        <f>27880*(1.01^10)</f>
        <v>30796.864856464388</v>
      </c>
      <c r="I3119">
        <f>121665*(1.01^10)</f>
        <v>134393.85088815424</v>
      </c>
      <c r="J3119" t="s">
        <v>9874</v>
      </c>
      <c r="K3119">
        <f t="shared" si="48"/>
        <v>634.78260709070548</v>
      </c>
    </row>
    <row r="3120" spans="1:11" x14ac:dyDescent="0.2">
      <c r="A3120" t="s">
        <v>1340</v>
      </c>
      <c r="B3120" t="s">
        <v>926</v>
      </c>
      <c r="C3120" t="s">
        <v>9875</v>
      </c>
      <c r="D3120" t="s">
        <v>9876</v>
      </c>
      <c r="E3120" t="s">
        <v>220</v>
      </c>
      <c r="F3120" t="s">
        <v>11</v>
      </c>
      <c r="G3120" t="s">
        <v>24</v>
      </c>
      <c r="H3120">
        <f>4805*(1.01^10)</f>
        <v>5307.7093126008385</v>
      </c>
      <c r="I3120">
        <f>22531*(1.01^10)</f>
        <v>24888.241107639853</v>
      </c>
      <c r="J3120" t="s">
        <v>9877</v>
      </c>
      <c r="K3120">
        <f t="shared" si="48"/>
        <v>241.61792966889411</v>
      </c>
    </row>
    <row r="3121" spans="1:11" x14ac:dyDescent="0.2">
      <c r="A3121" t="s">
        <v>1340</v>
      </c>
      <c r="B3121" t="s">
        <v>926</v>
      </c>
      <c r="C3121" t="s">
        <v>9878</v>
      </c>
      <c r="D3121" t="s">
        <v>9879</v>
      </c>
      <c r="E3121" t="s">
        <v>1115</v>
      </c>
      <c r="F3121" t="s">
        <v>5</v>
      </c>
      <c r="G3121" t="s">
        <v>24</v>
      </c>
      <c r="H3121">
        <f>43350*(1.01^10)</f>
        <v>47885.369136575726</v>
      </c>
      <c r="I3121">
        <f>196136*(1.01^10)</f>
        <v>216656.16518965206</v>
      </c>
      <c r="J3121" t="s">
        <v>9880</v>
      </c>
      <c r="K3121">
        <f t="shared" si="48"/>
        <v>767.36861369394194</v>
      </c>
    </row>
    <row r="3122" spans="1:11" x14ac:dyDescent="0.2">
      <c r="A3122" t="s">
        <v>1340</v>
      </c>
      <c r="B3122" t="s">
        <v>926</v>
      </c>
      <c r="C3122" t="s">
        <v>9881</v>
      </c>
      <c r="D3122" t="s">
        <v>9882</v>
      </c>
      <c r="E3122" t="s">
        <v>1195</v>
      </c>
      <c r="F3122" t="s">
        <v>158</v>
      </c>
      <c r="G3122" t="s">
        <v>12</v>
      </c>
      <c r="H3122">
        <f>18007*(1.01^10)</f>
        <v>19890.930612279564</v>
      </c>
      <c r="I3122">
        <f>87953*(1.01^10)</f>
        <v>97154.829796291684</v>
      </c>
      <c r="J3122" t="s">
        <v>9883</v>
      </c>
      <c r="K3122">
        <f t="shared" si="48"/>
        <v>730.46150454245139</v>
      </c>
    </row>
    <row r="3123" spans="1:11" x14ac:dyDescent="0.2">
      <c r="A3123" t="s">
        <v>1340</v>
      </c>
      <c r="B3123" t="s">
        <v>926</v>
      </c>
      <c r="C3123" t="s">
        <v>9884</v>
      </c>
      <c r="D3123" t="s">
        <v>9885</v>
      </c>
      <c r="E3123" t="s">
        <v>611</v>
      </c>
      <c r="F3123" t="s">
        <v>382</v>
      </c>
      <c r="G3123" t="s">
        <v>24</v>
      </c>
      <c r="H3123">
        <f>22367*(1.01^10)</f>
        <v>24707.083079072418</v>
      </c>
      <c r="I3123">
        <f>107735*(1.01^10)</f>
        <v>119006.46468117615</v>
      </c>
      <c r="J3123" t="s">
        <v>9886</v>
      </c>
      <c r="K3123">
        <f t="shared" si="48"/>
        <v>457.29505333990221</v>
      </c>
    </row>
    <row r="3124" spans="1:11" x14ac:dyDescent="0.2">
      <c r="A3124" t="s">
        <v>1340</v>
      </c>
      <c r="B3124" t="s">
        <v>926</v>
      </c>
      <c r="C3124" t="s">
        <v>9887</v>
      </c>
      <c r="D3124" t="s">
        <v>9888</v>
      </c>
      <c r="E3124" t="s">
        <v>1441</v>
      </c>
      <c r="F3124" t="s">
        <v>108</v>
      </c>
      <c r="G3124" t="s">
        <v>24</v>
      </c>
      <c r="H3124">
        <f>27308*(1.01^10)</f>
        <v>30165.021000729179</v>
      </c>
      <c r="I3124">
        <f>132319*(1.01^10)</f>
        <v>146162.49501228519</v>
      </c>
      <c r="J3124" t="s">
        <v>9889</v>
      </c>
      <c r="K3124">
        <f t="shared" si="48"/>
        <v>124.19427773435466</v>
      </c>
    </row>
    <row r="3125" spans="1:11" x14ac:dyDescent="0.2">
      <c r="A3125" t="s">
        <v>1340</v>
      </c>
      <c r="B3125" t="s">
        <v>926</v>
      </c>
      <c r="C3125" t="s">
        <v>9890</v>
      </c>
      <c r="D3125" t="s">
        <v>9891</v>
      </c>
      <c r="E3125" t="s">
        <v>137</v>
      </c>
      <c r="F3125" t="s">
        <v>92</v>
      </c>
      <c r="G3125" t="s">
        <v>24</v>
      </c>
      <c r="H3125">
        <f>14623*(1.01^10)</f>
        <v>16152.889339888046</v>
      </c>
      <c r="I3125">
        <f>71870*(1.01^10)</f>
        <v>79389.192153303287</v>
      </c>
      <c r="J3125" t="s">
        <v>9892</v>
      </c>
      <c r="K3125">
        <f t="shared" si="48"/>
        <v>611.27291673368029</v>
      </c>
    </row>
    <row r="3126" spans="1:11" x14ac:dyDescent="0.2">
      <c r="A3126" t="s">
        <v>1340</v>
      </c>
      <c r="B3126" t="s">
        <v>926</v>
      </c>
      <c r="C3126" t="s">
        <v>9893</v>
      </c>
      <c r="D3126" t="s">
        <v>9894</v>
      </c>
      <c r="E3126" t="s">
        <v>1101</v>
      </c>
      <c r="F3126" t="s">
        <v>458</v>
      </c>
      <c r="G3126" t="s">
        <v>24</v>
      </c>
      <c r="H3126">
        <f>12088*(1.01^10)</f>
        <v>13352.672251970644</v>
      </c>
      <c r="I3126">
        <f>57505*(1.01^10)</f>
        <v>63521.295321771329</v>
      </c>
      <c r="J3126" t="s">
        <v>9895</v>
      </c>
      <c r="K3126">
        <f t="shared" si="48"/>
        <v>486.58788857837698</v>
      </c>
    </row>
    <row r="3127" spans="1:11" x14ac:dyDescent="0.2">
      <c r="A3127" t="s">
        <v>1340</v>
      </c>
      <c r="B3127" t="s">
        <v>926</v>
      </c>
      <c r="C3127" t="s">
        <v>9896</v>
      </c>
      <c r="D3127" t="s">
        <v>9897</v>
      </c>
      <c r="E3127" t="s">
        <v>24</v>
      </c>
      <c r="F3127" t="s">
        <v>24</v>
      </c>
      <c r="G3127" t="s">
        <v>12</v>
      </c>
      <c r="H3127">
        <f>41140*(1.01^10)</f>
        <v>45444.154239416966</v>
      </c>
      <c r="I3127">
        <f>200564*(1.01^10)</f>
        <v>221547.43196097287</v>
      </c>
      <c r="J3127" t="s">
        <v>9898</v>
      </c>
      <c r="K3127">
        <f t="shared" si="48"/>
        <v>13156.023275592213</v>
      </c>
    </row>
    <row r="3128" spans="1:11" x14ac:dyDescent="0.2">
      <c r="A3128" t="s">
        <v>1340</v>
      </c>
      <c r="B3128" t="s">
        <v>9899</v>
      </c>
      <c r="C3128" t="s">
        <v>9900</v>
      </c>
      <c r="D3128" t="s">
        <v>9901</v>
      </c>
      <c r="E3128" t="s">
        <v>40</v>
      </c>
      <c r="F3128" t="s">
        <v>11</v>
      </c>
      <c r="G3128" t="s">
        <v>12</v>
      </c>
      <c r="H3128">
        <f>19762*(1.01^10)</f>
        <v>21829.542442376227</v>
      </c>
      <c r="I3128">
        <f>84981*(1.01^10)</f>
        <v>93871.892839569584</v>
      </c>
      <c r="J3128" t="s">
        <v>9902</v>
      </c>
      <c r="K3128">
        <f t="shared" si="48"/>
        <v>124.03019643226604</v>
      </c>
    </row>
    <row r="3129" spans="1:11" x14ac:dyDescent="0.2">
      <c r="A3129" t="s">
        <v>1340</v>
      </c>
      <c r="B3129" t="s">
        <v>9899</v>
      </c>
      <c r="C3129" t="s">
        <v>9903</v>
      </c>
      <c r="D3129" t="s">
        <v>9904</v>
      </c>
      <c r="E3129" t="s">
        <v>32</v>
      </c>
      <c r="F3129" t="s">
        <v>6</v>
      </c>
      <c r="G3129" t="s">
        <v>12</v>
      </c>
      <c r="H3129">
        <f>29924*(1.01^10)</f>
        <v>33054.71248080489</v>
      </c>
      <c r="I3129">
        <f>136212*(1.01^10)</f>
        <v>150462.78894651102</v>
      </c>
      <c r="J3129" t="s">
        <v>9905</v>
      </c>
      <c r="K3129">
        <f t="shared" si="48"/>
        <v>436.38588749017129</v>
      </c>
    </row>
    <row r="3130" spans="1:11" x14ac:dyDescent="0.2">
      <c r="A3130" t="s">
        <v>1340</v>
      </c>
      <c r="B3130" t="s">
        <v>9899</v>
      </c>
      <c r="C3130" t="s">
        <v>9906</v>
      </c>
      <c r="D3130" t="s">
        <v>9907</v>
      </c>
      <c r="E3130" t="s">
        <v>1054</v>
      </c>
      <c r="F3130" t="s">
        <v>11</v>
      </c>
      <c r="G3130" t="s">
        <v>24</v>
      </c>
      <c r="H3130">
        <f>18600*(1.01^10)</f>
        <v>20545.971532648407</v>
      </c>
      <c r="I3130">
        <f>79901*(1.01^10)</f>
        <v>88260.412442480665</v>
      </c>
      <c r="J3130" t="s">
        <v>9908</v>
      </c>
      <c r="K3130">
        <f t="shared" si="48"/>
        <v>355.40562168048689</v>
      </c>
    </row>
    <row r="3131" spans="1:11" x14ac:dyDescent="0.2">
      <c r="A3131" t="s">
        <v>1340</v>
      </c>
      <c r="B3131" t="s">
        <v>9899</v>
      </c>
      <c r="C3131" t="s">
        <v>9909</v>
      </c>
      <c r="D3131" t="s">
        <v>9910</v>
      </c>
      <c r="E3131" t="s">
        <v>386</v>
      </c>
      <c r="F3131" t="s">
        <v>152</v>
      </c>
      <c r="G3131" t="s">
        <v>5</v>
      </c>
      <c r="H3131">
        <f>38693*(1.01^10)</f>
        <v>42741.143898535745</v>
      </c>
      <c r="I3131">
        <f>177235*(1.01^10)</f>
        <v>195777.70239725488</v>
      </c>
      <c r="J3131" t="s">
        <v>9911</v>
      </c>
      <c r="K3131">
        <f t="shared" si="48"/>
        <v>307.92374623293568</v>
      </c>
    </row>
    <row r="3132" spans="1:11" x14ac:dyDescent="0.2">
      <c r="A3132" t="s">
        <v>1340</v>
      </c>
      <c r="B3132" t="s">
        <v>9899</v>
      </c>
      <c r="C3132" t="s">
        <v>9912</v>
      </c>
      <c r="D3132" t="s">
        <v>2121</v>
      </c>
      <c r="E3132" t="s">
        <v>1944</v>
      </c>
      <c r="F3132" t="s">
        <v>382</v>
      </c>
      <c r="G3132" t="s">
        <v>24</v>
      </c>
      <c r="H3132">
        <f>23918*(1.01^10)</f>
        <v>26420.351995585195</v>
      </c>
      <c r="I3132">
        <f>114480*(1.01^10)</f>
        <v>126457.14091707472</v>
      </c>
      <c r="J3132" t="s">
        <v>9913</v>
      </c>
      <c r="K3132">
        <f t="shared" si="48"/>
        <v>429.96263803035583</v>
      </c>
    </row>
    <row r="3133" spans="1:11" x14ac:dyDescent="0.2">
      <c r="A3133" t="s">
        <v>1340</v>
      </c>
      <c r="B3133" t="s">
        <v>9899</v>
      </c>
      <c r="C3133" t="s">
        <v>9914</v>
      </c>
      <c r="D3133" t="s">
        <v>9915</v>
      </c>
      <c r="E3133" t="s">
        <v>1549</v>
      </c>
      <c r="F3133" t="s">
        <v>405</v>
      </c>
      <c r="G3133" t="s">
        <v>12</v>
      </c>
      <c r="H3133">
        <f>19129*(1.01^10)</f>
        <v>21130.316636990934</v>
      </c>
      <c r="I3133">
        <f>87684*(1.01^10)</f>
        <v>96857.686444556079</v>
      </c>
      <c r="J3133" t="s">
        <v>9916</v>
      </c>
      <c r="K3133">
        <f t="shared" si="48"/>
        <v>173.19784775755963</v>
      </c>
    </row>
    <row r="3134" spans="1:11" x14ac:dyDescent="0.2">
      <c r="A3134" t="s">
        <v>1340</v>
      </c>
      <c r="B3134" t="s">
        <v>9899</v>
      </c>
      <c r="C3134" t="s">
        <v>9917</v>
      </c>
      <c r="D3134" t="s">
        <v>9918</v>
      </c>
      <c r="E3134" t="s">
        <v>1900</v>
      </c>
      <c r="F3134" t="s">
        <v>829</v>
      </c>
      <c r="G3134" t="s">
        <v>12</v>
      </c>
      <c r="H3134">
        <f>27397*(1.01^10)</f>
        <v>30263.332369890777</v>
      </c>
      <c r="I3134">
        <f>125836*(1.01^10)</f>
        <v>139001.22977324435</v>
      </c>
      <c r="J3134" t="s">
        <v>9919</v>
      </c>
      <c r="K3134">
        <f t="shared" si="48"/>
        <v>189.16246006974077</v>
      </c>
    </row>
    <row r="3135" spans="1:11" x14ac:dyDescent="0.2">
      <c r="A3135" t="s">
        <v>1340</v>
      </c>
      <c r="B3135" t="s">
        <v>9899</v>
      </c>
      <c r="C3135" t="s">
        <v>9920</v>
      </c>
      <c r="D3135" t="s">
        <v>9921</v>
      </c>
      <c r="E3135" t="s">
        <v>1060</v>
      </c>
      <c r="F3135" t="s">
        <v>108</v>
      </c>
      <c r="G3135" t="s">
        <v>17</v>
      </c>
      <c r="H3135">
        <f>30153*(1.01^10)</f>
        <v>33307.670947524057</v>
      </c>
      <c r="I3135">
        <f>143770*(1.01^10)</f>
        <v>158811.52297036891</v>
      </c>
      <c r="J3135" t="s">
        <v>9922</v>
      </c>
      <c r="K3135">
        <f t="shared" si="48"/>
        <v>866.34724077898329</v>
      </c>
    </row>
    <row r="3136" spans="1:11" x14ac:dyDescent="0.2">
      <c r="A3136" t="s">
        <v>1340</v>
      </c>
      <c r="B3136" t="s">
        <v>9899</v>
      </c>
      <c r="C3136" t="s">
        <v>9923</v>
      </c>
      <c r="D3136" t="s">
        <v>9924</v>
      </c>
      <c r="E3136" t="s">
        <v>1580</v>
      </c>
      <c r="F3136" t="s">
        <v>744</v>
      </c>
      <c r="G3136" t="s">
        <v>12</v>
      </c>
      <c r="H3136">
        <f>12199*(1.01^10)</f>
        <v>13475.285307891287</v>
      </c>
      <c r="I3136">
        <f>57528*(1.01^10)</f>
        <v>63546.701630655785</v>
      </c>
      <c r="J3136" t="s">
        <v>9925</v>
      </c>
      <c r="K3136">
        <f t="shared" si="48"/>
        <v>1122.7551842376711</v>
      </c>
    </row>
    <row r="3137" spans="1:11" x14ac:dyDescent="0.2">
      <c r="A3137" t="s">
        <v>1340</v>
      </c>
      <c r="B3137" t="s">
        <v>9899</v>
      </c>
      <c r="C3137" t="s">
        <v>9926</v>
      </c>
      <c r="D3137" t="s">
        <v>9927</v>
      </c>
      <c r="E3137" t="s">
        <v>1944</v>
      </c>
      <c r="F3137" t="s">
        <v>6</v>
      </c>
      <c r="G3137" t="s">
        <v>12</v>
      </c>
      <c r="H3137">
        <f>37590*(1.01^10)</f>
        <v>41522.745694207188</v>
      </c>
      <c r="I3137">
        <f>176640*(1.01^10)</f>
        <v>195120.4522326352</v>
      </c>
      <c r="J3137" t="s">
        <v>9928</v>
      </c>
      <c r="K3137">
        <f t="shared" si="48"/>
        <v>778.19510534177459</v>
      </c>
    </row>
    <row r="3138" spans="1:11" x14ac:dyDescent="0.2">
      <c r="A3138" t="s">
        <v>1340</v>
      </c>
      <c r="B3138" t="s">
        <v>9899</v>
      </c>
      <c r="C3138" t="s">
        <v>9929</v>
      </c>
      <c r="D3138" t="s">
        <v>9930</v>
      </c>
      <c r="E3138" t="s">
        <v>1215</v>
      </c>
      <c r="F3138" t="s">
        <v>458</v>
      </c>
      <c r="G3138" t="s">
        <v>12</v>
      </c>
      <c r="H3138">
        <f>29297*(1.01^10)</f>
        <v>32362.114408172067</v>
      </c>
      <c r="I3138">
        <f>136703*(1.01^10)</f>
        <v>151005.15841008793</v>
      </c>
      <c r="J3138" t="s">
        <v>9931</v>
      </c>
      <c r="K3138">
        <f t="shared" si="48"/>
        <v>375.55076282614374</v>
      </c>
    </row>
    <row r="3139" spans="1:11" x14ac:dyDescent="0.2">
      <c r="A3139" t="s">
        <v>1340</v>
      </c>
      <c r="B3139" t="s">
        <v>9899</v>
      </c>
      <c r="C3139" t="s">
        <v>9932</v>
      </c>
      <c r="D3139" t="s">
        <v>9933</v>
      </c>
      <c r="E3139" t="s">
        <v>479</v>
      </c>
      <c r="F3139" t="s">
        <v>333</v>
      </c>
      <c r="G3139" t="s">
        <v>12</v>
      </c>
      <c r="H3139">
        <f>31998*(1.01^10)</f>
        <v>35345.698768907729</v>
      </c>
      <c r="I3139">
        <f>151318*(1.01^10)</f>
        <v>167149.21077297267</v>
      </c>
      <c r="J3139" t="s">
        <v>9934</v>
      </c>
      <c r="K3139">
        <f t="shared" ref="K3139:K3202" si="49">I3139/J3139</f>
        <v>638.30982589906523</v>
      </c>
    </row>
    <row r="3140" spans="1:11" x14ac:dyDescent="0.2">
      <c r="A3140" t="s">
        <v>1340</v>
      </c>
      <c r="B3140" t="s">
        <v>9899</v>
      </c>
      <c r="C3140" t="s">
        <v>9935</v>
      </c>
      <c r="D3140" t="s">
        <v>9936</v>
      </c>
      <c r="E3140" t="s">
        <v>386</v>
      </c>
      <c r="F3140" t="s">
        <v>333</v>
      </c>
      <c r="G3140" t="s">
        <v>17</v>
      </c>
      <c r="H3140">
        <f>30757*(1.01^10)</f>
        <v>33974.862711272428</v>
      </c>
      <c r="I3140">
        <f>146713*(1.01^10)</f>
        <v>162062.42588545408</v>
      </c>
      <c r="J3140" t="s">
        <v>9937</v>
      </c>
      <c r="K3140">
        <f t="shared" si="49"/>
        <v>560.82201051548213</v>
      </c>
    </row>
    <row r="3141" spans="1:11" x14ac:dyDescent="0.2">
      <c r="A3141" t="s">
        <v>1340</v>
      </c>
      <c r="B3141" t="s">
        <v>9899</v>
      </c>
      <c r="C3141" t="s">
        <v>9938</v>
      </c>
      <c r="D3141" t="s">
        <v>9939</v>
      </c>
      <c r="E3141" t="s">
        <v>484</v>
      </c>
      <c r="F3141" t="s">
        <v>796</v>
      </c>
      <c r="G3141" t="s">
        <v>17</v>
      </c>
      <c r="H3141">
        <f>20618*(1.01^10)</f>
        <v>22775.098981728221</v>
      </c>
      <c r="I3141">
        <f>95659*(1.01^10)</f>
        <v>105667.04789471044</v>
      </c>
      <c r="J3141" t="s">
        <v>9940</v>
      </c>
      <c r="K3141">
        <f t="shared" si="49"/>
        <v>455.81950706962664</v>
      </c>
    </row>
    <row r="3142" spans="1:11" x14ac:dyDescent="0.2">
      <c r="A3142" t="s">
        <v>1340</v>
      </c>
      <c r="B3142" t="s">
        <v>9899</v>
      </c>
      <c r="C3142" t="s">
        <v>9941</v>
      </c>
      <c r="D3142" t="s">
        <v>9942</v>
      </c>
      <c r="E3142" t="s">
        <v>176</v>
      </c>
      <c r="F3142" t="s">
        <v>5</v>
      </c>
      <c r="G3142" t="s">
        <v>12</v>
      </c>
      <c r="H3142">
        <f>20415*(1.01^10)</f>
        <v>22550.860690269747</v>
      </c>
      <c r="I3142">
        <f>94683*(1.01^10)</f>
        <v>104588.9367003091</v>
      </c>
      <c r="J3142" t="s">
        <v>9943</v>
      </c>
      <c r="K3142">
        <f t="shared" si="49"/>
        <v>841.32026491453337</v>
      </c>
    </row>
    <row r="3143" spans="1:11" x14ac:dyDescent="0.2">
      <c r="A3143" t="s">
        <v>1340</v>
      </c>
      <c r="B3143" t="s">
        <v>9899</v>
      </c>
      <c r="C3143" t="s">
        <v>9944</v>
      </c>
      <c r="D3143" t="s">
        <v>9945</v>
      </c>
      <c r="E3143" t="s">
        <v>422</v>
      </c>
      <c r="F3143" t="s">
        <v>5</v>
      </c>
      <c r="G3143" t="s">
        <v>17</v>
      </c>
      <c r="H3143">
        <f>9743*(1.01^10)</f>
        <v>10762.333367881369</v>
      </c>
      <c r="I3143">
        <f>45243*(1.01^10)</f>
        <v>49976.418819979139</v>
      </c>
      <c r="J3143" t="s">
        <v>9946</v>
      </c>
      <c r="K3143">
        <f t="shared" si="49"/>
        <v>721.42888550990051</v>
      </c>
    </row>
    <row r="3144" spans="1:11" x14ac:dyDescent="0.2">
      <c r="A3144" t="s">
        <v>1340</v>
      </c>
      <c r="B3144" t="s">
        <v>9899</v>
      </c>
      <c r="C3144" t="s">
        <v>9947</v>
      </c>
      <c r="D3144" t="s">
        <v>9948</v>
      </c>
      <c r="E3144" t="s">
        <v>1656</v>
      </c>
      <c r="F3144" t="s">
        <v>12</v>
      </c>
      <c r="G3144" t="s">
        <v>24</v>
      </c>
      <c r="H3144">
        <f>10785*(1.01^10)</f>
        <v>11913.349622559843</v>
      </c>
      <c r="I3144">
        <f>48236*(1.01^10)</f>
        <v>53282.552841334873</v>
      </c>
      <c r="J3144" t="s">
        <v>9949</v>
      </c>
      <c r="K3144">
        <f t="shared" si="49"/>
        <v>456.69454736723128</v>
      </c>
    </row>
    <row r="3145" spans="1:11" x14ac:dyDescent="0.2">
      <c r="A3145" t="s">
        <v>1340</v>
      </c>
      <c r="B3145" t="s">
        <v>9899</v>
      </c>
      <c r="C3145" t="s">
        <v>9950</v>
      </c>
      <c r="D3145" t="s">
        <v>9951</v>
      </c>
      <c r="E3145" t="s">
        <v>24</v>
      </c>
      <c r="F3145" t="s">
        <v>24</v>
      </c>
      <c r="G3145" t="s">
        <v>12</v>
      </c>
      <c r="H3145">
        <f>1721*(1.01^10)</f>
        <v>1901.0546778326834</v>
      </c>
      <c r="I3145">
        <f>8001*(1.01^10)</f>
        <v>8838.0816254150486</v>
      </c>
      <c r="J3145" t="s">
        <v>9952</v>
      </c>
      <c r="K3145">
        <f t="shared" si="49"/>
        <v>2139.9713378728934</v>
      </c>
    </row>
    <row r="3146" spans="1:11" x14ac:dyDescent="0.2">
      <c r="A3146" t="s">
        <v>1340</v>
      </c>
      <c r="B3146" t="s">
        <v>9899</v>
      </c>
      <c r="C3146" t="s">
        <v>9953</v>
      </c>
      <c r="D3146" t="s">
        <v>9954</v>
      </c>
      <c r="E3146" t="s">
        <v>611</v>
      </c>
      <c r="F3146" t="s">
        <v>405</v>
      </c>
      <c r="G3146" t="s">
        <v>12</v>
      </c>
      <c r="H3146">
        <f>34689*(1.01^10)</f>
        <v>38318.236908389285</v>
      </c>
      <c r="I3146">
        <f>159869*(1.01^10)</f>
        <v>176594.8345673639</v>
      </c>
      <c r="J3146" t="s">
        <v>9955</v>
      </c>
      <c r="K3146">
        <f t="shared" si="49"/>
        <v>840.57306100839332</v>
      </c>
    </row>
    <row r="3147" spans="1:11" x14ac:dyDescent="0.2">
      <c r="A3147" t="s">
        <v>1340</v>
      </c>
      <c r="B3147" t="s">
        <v>9899</v>
      </c>
      <c r="C3147" t="s">
        <v>9956</v>
      </c>
      <c r="D3147" t="s">
        <v>9957</v>
      </c>
      <c r="E3147" t="s">
        <v>535</v>
      </c>
      <c r="F3147" t="s">
        <v>744</v>
      </c>
      <c r="G3147" t="s">
        <v>17</v>
      </c>
      <c r="H3147">
        <f>34464*(1.01^10)</f>
        <v>38069.696930171762</v>
      </c>
      <c r="I3147">
        <f>162779*(1.01^10)</f>
        <v>179809.2849523105</v>
      </c>
      <c r="J3147" t="s">
        <v>9958</v>
      </c>
      <c r="K3147">
        <f t="shared" si="49"/>
        <v>1086.132799470314</v>
      </c>
    </row>
    <row r="3148" spans="1:11" x14ac:dyDescent="0.2">
      <c r="A3148" t="s">
        <v>1340</v>
      </c>
      <c r="B3148" t="s">
        <v>9899</v>
      </c>
      <c r="C3148" t="s">
        <v>9959</v>
      </c>
      <c r="D3148" t="s">
        <v>9960</v>
      </c>
      <c r="E3148" t="s">
        <v>1233</v>
      </c>
      <c r="F3148" t="s">
        <v>274</v>
      </c>
      <c r="G3148" t="s">
        <v>24</v>
      </c>
      <c r="H3148">
        <f>28268*(1.01^10)</f>
        <v>31225.458241123935</v>
      </c>
      <c r="I3148">
        <f>133574*(1.01^10)</f>
        <v>147548.79577967626</v>
      </c>
      <c r="J3148" t="s">
        <v>9961</v>
      </c>
      <c r="K3148">
        <f t="shared" si="49"/>
        <v>436.51517633726866</v>
      </c>
    </row>
    <row r="3149" spans="1:11" x14ac:dyDescent="0.2">
      <c r="A3149" t="s">
        <v>1340</v>
      </c>
      <c r="B3149" t="s">
        <v>9899</v>
      </c>
      <c r="C3149" t="s">
        <v>9962</v>
      </c>
      <c r="D3149" t="s">
        <v>9963</v>
      </c>
      <c r="E3149" t="s">
        <v>180</v>
      </c>
      <c r="F3149" t="s">
        <v>17</v>
      </c>
      <c r="G3149" t="s">
        <v>12</v>
      </c>
      <c r="H3149">
        <f>13599*(1.01^10)</f>
        <v>15021.756283466973</v>
      </c>
      <c r="I3149">
        <f>66224*(1.01^10)</f>
        <v>73152.495633231621</v>
      </c>
      <c r="J3149" t="s">
        <v>9964</v>
      </c>
      <c r="K3149">
        <f t="shared" si="49"/>
        <v>635.94950512510707</v>
      </c>
    </row>
    <row r="3150" spans="1:11" x14ac:dyDescent="0.2">
      <c r="A3150" t="s">
        <v>1340</v>
      </c>
      <c r="B3150" t="s">
        <v>9899</v>
      </c>
      <c r="C3150" t="s">
        <v>9965</v>
      </c>
      <c r="D3150" t="s">
        <v>9966</v>
      </c>
      <c r="E3150" t="s">
        <v>23</v>
      </c>
      <c r="F3150" t="s">
        <v>11</v>
      </c>
      <c r="G3150" t="s">
        <v>5</v>
      </c>
      <c r="H3150">
        <f>29648*(1.01^10)</f>
        <v>32749.836774191397</v>
      </c>
      <c r="I3150">
        <f>143763*(1.01^10)</f>
        <v>158803.79061549102</v>
      </c>
      <c r="J3150" t="s">
        <v>9967</v>
      </c>
      <c r="K3150">
        <f t="shared" si="49"/>
        <v>840.58750061132241</v>
      </c>
    </row>
    <row r="3151" spans="1:11" x14ac:dyDescent="0.2">
      <c r="A3151" t="s">
        <v>1340</v>
      </c>
      <c r="B3151" t="s">
        <v>9899</v>
      </c>
      <c r="C3151" t="s">
        <v>9968</v>
      </c>
      <c r="D3151" t="s">
        <v>4670</v>
      </c>
      <c r="E3151" t="s">
        <v>726</v>
      </c>
      <c r="F3151" t="s">
        <v>12</v>
      </c>
      <c r="G3151" t="s">
        <v>11</v>
      </c>
      <c r="H3151">
        <f>14936*(1.01^10)</f>
        <v>16498.636065141753</v>
      </c>
      <c r="I3151">
        <f>67957*(1.01^10)</f>
        <v>75066.805776569236</v>
      </c>
      <c r="J3151" t="s">
        <v>9969</v>
      </c>
      <c r="K3151">
        <f t="shared" si="49"/>
        <v>1218.6924162078164</v>
      </c>
    </row>
    <row r="3152" spans="1:11" x14ac:dyDescent="0.2">
      <c r="A3152" t="s">
        <v>1340</v>
      </c>
      <c r="B3152" t="s">
        <v>9899</v>
      </c>
      <c r="C3152" t="s">
        <v>9970</v>
      </c>
      <c r="D3152" t="s">
        <v>9971</v>
      </c>
      <c r="E3152" t="s">
        <v>337</v>
      </c>
      <c r="F3152" t="s">
        <v>17</v>
      </c>
      <c r="G3152" t="s">
        <v>17</v>
      </c>
      <c r="H3152">
        <f>31598*(1.01^10)</f>
        <v>34903.849918743246</v>
      </c>
      <c r="I3152">
        <f>147582*(1.01^10)</f>
        <v>163022.34251243641</v>
      </c>
      <c r="J3152" t="s">
        <v>9972</v>
      </c>
      <c r="K3152">
        <f t="shared" si="49"/>
        <v>560.22153554924546</v>
      </c>
    </row>
    <row r="3153" spans="1:11" x14ac:dyDescent="0.2">
      <c r="A3153" t="s">
        <v>1340</v>
      </c>
      <c r="B3153" t="s">
        <v>9899</v>
      </c>
      <c r="C3153" t="s">
        <v>9973</v>
      </c>
      <c r="D3153" t="s">
        <v>9974</v>
      </c>
      <c r="E3153" t="s">
        <v>320</v>
      </c>
      <c r="F3153" t="s">
        <v>374</v>
      </c>
      <c r="G3153" t="s">
        <v>12</v>
      </c>
      <c r="H3153">
        <f>30350*(1.01^10)</f>
        <v>33525.281506230065</v>
      </c>
      <c r="I3153">
        <f>137239*(1.01^10)</f>
        <v>151597.23586930832</v>
      </c>
      <c r="J3153" t="s">
        <v>9975</v>
      </c>
      <c r="K3153">
        <f t="shared" si="49"/>
        <v>594.72659190585648</v>
      </c>
    </row>
    <row r="3154" spans="1:11" x14ac:dyDescent="0.2">
      <c r="A3154" t="s">
        <v>1340</v>
      </c>
      <c r="B3154" t="s">
        <v>9899</v>
      </c>
      <c r="C3154" t="s">
        <v>9976</v>
      </c>
      <c r="D3154" t="s">
        <v>9977</v>
      </c>
      <c r="E3154" t="s">
        <v>418</v>
      </c>
      <c r="F3154" t="s">
        <v>313</v>
      </c>
      <c r="G3154" t="s">
        <v>12</v>
      </c>
      <c r="H3154">
        <f>24931*(1.01^10)</f>
        <v>27539.334208626744</v>
      </c>
      <c r="I3154">
        <f>114436*(1.01^10)</f>
        <v>126408.53754355662</v>
      </c>
      <c r="J3154" t="s">
        <v>9978</v>
      </c>
      <c r="K3154">
        <f t="shared" si="49"/>
        <v>292.41187633851894</v>
      </c>
    </row>
    <row r="3155" spans="1:11" x14ac:dyDescent="0.2">
      <c r="A3155" t="s">
        <v>1340</v>
      </c>
      <c r="B3155" t="s">
        <v>9899</v>
      </c>
      <c r="C3155" t="s">
        <v>9979</v>
      </c>
      <c r="D3155" t="s">
        <v>9980</v>
      </c>
      <c r="E3155" t="s">
        <v>350</v>
      </c>
      <c r="F3155" t="s">
        <v>619</v>
      </c>
      <c r="G3155" t="s">
        <v>12</v>
      </c>
      <c r="H3155">
        <f>25655*(1.01^10)</f>
        <v>28339.080627424457</v>
      </c>
      <c r="I3155">
        <f>115201*(1.01^10)</f>
        <v>127253.5734694962</v>
      </c>
      <c r="J3155" t="s">
        <v>9981</v>
      </c>
      <c r="K3155">
        <f t="shared" si="49"/>
        <v>470.2427535713864</v>
      </c>
    </row>
    <row r="3156" spans="1:11" x14ac:dyDescent="0.2">
      <c r="A3156" t="s">
        <v>1340</v>
      </c>
      <c r="B3156" t="s">
        <v>9899</v>
      </c>
      <c r="C3156" t="s">
        <v>9982</v>
      </c>
      <c r="D3156" t="s">
        <v>9983</v>
      </c>
      <c r="E3156" t="s">
        <v>32</v>
      </c>
      <c r="F3156" t="s">
        <v>458</v>
      </c>
      <c r="G3156" t="s">
        <v>24</v>
      </c>
      <c r="H3156">
        <f>2710*(1.01^10)</f>
        <v>2993.5259598643647</v>
      </c>
      <c r="I3156">
        <f>12986*(1.01^10)</f>
        <v>14344.622920589905</v>
      </c>
      <c r="J3156" t="s">
        <v>9984</v>
      </c>
      <c r="K3156">
        <f t="shared" si="49"/>
        <v>61.176776167401812</v>
      </c>
    </row>
    <row r="3157" spans="1:11" x14ac:dyDescent="0.2">
      <c r="A3157" t="s">
        <v>1340</v>
      </c>
      <c r="B3157" t="s">
        <v>9899</v>
      </c>
      <c r="C3157" t="s">
        <v>9985</v>
      </c>
      <c r="D3157" t="s">
        <v>9986</v>
      </c>
      <c r="E3157" t="s">
        <v>24</v>
      </c>
      <c r="F3157" t="s">
        <v>24</v>
      </c>
      <c r="G3157" t="s">
        <v>12</v>
      </c>
      <c r="H3157">
        <f>74720*(1.01^10)</f>
        <v>82537.365210725213</v>
      </c>
      <c r="I3157">
        <f>356598*(1.01^10)</f>
        <v>393906.04067738476</v>
      </c>
      <c r="J3157" t="s">
        <v>9987</v>
      </c>
      <c r="K3157">
        <f t="shared" si="49"/>
        <v>4936.1659232754982</v>
      </c>
    </row>
    <row r="3158" spans="1:11" x14ac:dyDescent="0.2">
      <c r="A3158" t="s">
        <v>1340</v>
      </c>
      <c r="B3158" t="s">
        <v>9988</v>
      </c>
      <c r="C3158" t="s">
        <v>9989</v>
      </c>
      <c r="D3158" t="s">
        <v>9990</v>
      </c>
      <c r="E3158" t="s">
        <v>563</v>
      </c>
      <c r="F3158" t="s">
        <v>422</v>
      </c>
      <c r="G3158" t="s">
        <v>24</v>
      </c>
      <c r="H3158">
        <f>12503*(1.01^10)</f>
        <v>13811.090434016292</v>
      </c>
      <c r="I3158">
        <f>59262*(1.01^10)</f>
        <v>65462.116396118814</v>
      </c>
      <c r="J3158" t="s">
        <v>9991</v>
      </c>
      <c r="K3158">
        <f t="shared" si="49"/>
        <v>76.640415699024331</v>
      </c>
    </row>
    <row r="3159" spans="1:11" x14ac:dyDescent="0.2">
      <c r="A3159" t="s">
        <v>1340</v>
      </c>
      <c r="B3159" t="s">
        <v>9988</v>
      </c>
      <c r="C3159" t="s">
        <v>9992</v>
      </c>
      <c r="D3159" t="s">
        <v>9993</v>
      </c>
      <c r="E3159" t="s">
        <v>1696</v>
      </c>
      <c r="F3159" t="s">
        <v>158</v>
      </c>
      <c r="G3159" t="s">
        <v>12</v>
      </c>
      <c r="H3159">
        <f>15627*(1.01^10)</f>
        <v>17261.929953800896</v>
      </c>
      <c r="I3159">
        <f>74336*(1.01^10)</f>
        <v>82113.190314567313</v>
      </c>
      <c r="J3159" t="s">
        <v>9994</v>
      </c>
      <c r="K3159">
        <f t="shared" si="49"/>
        <v>123.79941974863011</v>
      </c>
    </row>
    <row r="3160" spans="1:11" x14ac:dyDescent="0.2">
      <c r="A3160" t="s">
        <v>1340</v>
      </c>
      <c r="B3160" t="s">
        <v>9988</v>
      </c>
      <c r="C3160" t="s">
        <v>9995</v>
      </c>
      <c r="D3160" t="s">
        <v>9996</v>
      </c>
      <c r="E3160" t="s">
        <v>2915</v>
      </c>
      <c r="F3160" t="s">
        <v>1340</v>
      </c>
      <c r="G3160" t="s">
        <v>12</v>
      </c>
      <c r="H3160">
        <f>17620*(1.01^10)</f>
        <v>19463.441849745428</v>
      </c>
      <c r="I3160">
        <f>86234*(1.01^10)</f>
        <v>95255.984362709831</v>
      </c>
      <c r="J3160" t="s">
        <v>9997</v>
      </c>
      <c r="K3160">
        <f t="shared" si="49"/>
        <v>93.997950813143518</v>
      </c>
    </row>
    <row r="3161" spans="1:11" x14ac:dyDescent="0.2">
      <c r="A3161" t="s">
        <v>1340</v>
      </c>
      <c r="B3161" t="s">
        <v>9988</v>
      </c>
      <c r="C3161" t="s">
        <v>9998</v>
      </c>
      <c r="D3161" t="s">
        <v>9999</v>
      </c>
      <c r="E3161" t="s">
        <v>667</v>
      </c>
      <c r="F3161" t="s">
        <v>458</v>
      </c>
      <c r="G3161" t="s">
        <v>24</v>
      </c>
      <c r="H3161">
        <f>16653*(1.01^10)</f>
        <v>18395.272254472791</v>
      </c>
      <c r="I3161">
        <f>77720*(1.01^10)</f>
        <v>85851.231586958835</v>
      </c>
      <c r="J3161" t="s">
        <v>10000</v>
      </c>
      <c r="K3161">
        <f t="shared" si="49"/>
        <v>225.67705680075878</v>
      </c>
    </row>
    <row r="3162" spans="1:11" x14ac:dyDescent="0.2">
      <c r="A3162" t="s">
        <v>1340</v>
      </c>
      <c r="B3162" t="s">
        <v>9988</v>
      </c>
      <c r="C3162" t="s">
        <v>10001</v>
      </c>
      <c r="D3162" t="s">
        <v>10002</v>
      </c>
      <c r="E3162" t="s">
        <v>777</v>
      </c>
      <c r="F3162" t="s">
        <v>318</v>
      </c>
      <c r="G3162" t="s">
        <v>12</v>
      </c>
      <c r="H3162">
        <f>12486*(1.01^10)</f>
        <v>13792.311857884302</v>
      </c>
      <c r="I3162">
        <f>51907*(1.01^10)</f>
        <v>57337.620663719405</v>
      </c>
      <c r="J3162" t="s">
        <v>10003</v>
      </c>
      <c r="K3162">
        <f t="shared" si="49"/>
        <v>213.12350190579284</v>
      </c>
    </row>
    <row r="3163" spans="1:11" x14ac:dyDescent="0.2">
      <c r="A3163" t="s">
        <v>1340</v>
      </c>
      <c r="B3163" t="s">
        <v>9988</v>
      </c>
      <c r="C3163" t="s">
        <v>10004</v>
      </c>
      <c r="D3163" t="s">
        <v>10005</v>
      </c>
      <c r="E3163" t="s">
        <v>264</v>
      </c>
      <c r="F3163" t="s">
        <v>744</v>
      </c>
      <c r="G3163" t="s">
        <v>12</v>
      </c>
      <c r="H3163">
        <f>18095*(1.01^10)</f>
        <v>19988.137359315751</v>
      </c>
      <c r="I3163">
        <f>77645*(1.01^10)</f>
        <v>85768.384927552994</v>
      </c>
      <c r="J3163" t="s">
        <v>10006</v>
      </c>
      <c r="K3163">
        <f t="shared" si="49"/>
        <v>570.87038242450285</v>
      </c>
    </row>
    <row r="3164" spans="1:11" x14ac:dyDescent="0.2">
      <c r="A3164" t="s">
        <v>1340</v>
      </c>
      <c r="B3164" t="s">
        <v>9988</v>
      </c>
      <c r="C3164" t="s">
        <v>10007</v>
      </c>
      <c r="D3164" t="s">
        <v>10008</v>
      </c>
      <c r="E3164" t="s">
        <v>1106</v>
      </c>
      <c r="F3164" t="s">
        <v>5</v>
      </c>
      <c r="G3164" t="s">
        <v>24</v>
      </c>
      <c r="H3164">
        <f>11694*(1.01^10)</f>
        <v>12917.451134558629</v>
      </c>
      <c r="I3164">
        <f>45010*(1.01^10)</f>
        <v>49719.041864758328</v>
      </c>
      <c r="J3164" t="s">
        <v>10009</v>
      </c>
      <c r="K3164">
        <f t="shared" si="49"/>
        <v>374.99533899951848</v>
      </c>
    </row>
    <row r="3165" spans="1:11" x14ac:dyDescent="0.2">
      <c r="A3165" t="s">
        <v>1340</v>
      </c>
      <c r="B3165" t="s">
        <v>9988</v>
      </c>
      <c r="C3165" t="s">
        <v>10010</v>
      </c>
      <c r="D3165" t="s">
        <v>10011</v>
      </c>
      <c r="E3165" t="s">
        <v>1328</v>
      </c>
      <c r="F3165" t="s">
        <v>152</v>
      </c>
      <c r="G3165" t="s">
        <v>12</v>
      </c>
      <c r="H3165">
        <f>10631*(1.01^10)</f>
        <v>11743.237815246517</v>
      </c>
      <c r="I3165">
        <f>46196*(1.01^10)</f>
        <v>51029.123705496015</v>
      </c>
      <c r="J3165" t="s">
        <v>10012</v>
      </c>
      <c r="K3165">
        <f t="shared" si="49"/>
        <v>154.42577549541997</v>
      </c>
    </row>
    <row r="3166" spans="1:11" x14ac:dyDescent="0.2">
      <c r="A3166" t="s">
        <v>1340</v>
      </c>
      <c r="B3166" t="s">
        <v>9988</v>
      </c>
      <c r="C3166" t="s">
        <v>10013</v>
      </c>
      <c r="D3166" t="s">
        <v>10014</v>
      </c>
      <c r="E3166" t="s">
        <v>40</v>
      </c>
      <c r="F3166" t="s">
        <v>108</v>
      </c>
      <c r="G3166" t="s">
        <v>24</v>
      </c>
      <c r="H3166">
        <f>6673*(1.01^10)</f>
        <v>7371.143442868969</v>
      </c>
      <c r="I3166">
        <f>29492*(1.01^10)</f>
        <v>32577.515722627249</v>
      </c>
      <c r="J3166" t="s">
        <v>10015</v>
      </c>
      <c r="K3166">
        <f t="shared" si="49"/>
        <v>111.69256207859748</v>
      </c>
    </row>
    <row r="3167" spans="1:11" x14ac:dyDescent="0.2">
      <c r="A3167" t="s">
        <v>1340</v>
      </c>
      <c r="B3167" t="s">
        <v>9988</v>
      </c>
      <c r="C3167" t="s">
        <v>9982</v>
      </c>
      <c r="D3167" t="s">
        <v>9983</v>
      </c>
      <c r="E3167" t="s">
        <v>1002</v>
      </c>
      <c r="F3167" t="s">
        <v>6</v>
      </c>
      <c r="G3167" t="s">
        <v>24</v>
      </c>
      <c r="H3167">
        <f>6541*(1.01^10)</f>
        <v>7225.3333223146901</v>
      </c>
      <c r="I3167">
        <f>30015*(1.01^10)</f>
        <v>33155.233094217314</v>
      </c>
      <c r="J3167" t="s">
        <v>10016</v>
      </c>
      <c r="K3167">
        <f t="shared" si="49"/>
        <v>138.26184757754217</v>
      </c>
    </row>
    <row r="3168" spans="1:11" x14ac:dyDescent="0.2">
      <c r="A3168" t="s">
        <v>1340</v>
      </c>
      <c r="B3168" t="s">
        <v>1494</v>
      </c>
      <c r="C3168" t="s">
        <v>10017</v>
      </c>
      <c r="D3168" t="s">
        <v>10018</v>
      </c>
      <c r="E3168" t="s">
        <v>698</v>
      </c>
      <c r="F3168" t="s">
        <v>274</v>
      </c>
      <c r="G3168" t="s">
        <v>24</v>
      </c>
      <c r="H3168">
        <f>8303*(1.01^10)</f>
        <v>9171.6775072892324</v>
      </c>
      <c r="I3168">
        <f>35593*(1.01^10)</f>
        <v>39316.815309761012</v>
      </c>
      <c r="J3168" t="s">
        <v>10019</v>
      </c>
      <c r="K3168">
        <f t="shared" si="49"/>
        <v>62.560077153274229</v>
      </c>
    </row>
    <row r="3169" spans="1:11" x14ac:dyDescent="0.2">
      <c r="A3169" t="s">
        <v>1340</v>
      </c>
      <c r="B3169" t="s">
        <v>1494</v>
      </c>
      <c r="C3169" t="s">
        <v>10020</v>
      </c>
      <c r="D3169" t="s">
        <v>10021</v>
      </c>
      <c r="E3169" t="s">
        <v>1122</v>
      </c>
      <c r="F3169" t="s">
        <v>744</v>
      </c>
      <c r="G3169" t="s">
        <v>24</v>
      </c>
      <c r="H3169">
        <f>9954*(1.01^10)</f>
        <v>10995.408636343132</v>
      </c>
      <c r="I3169">
        <f>41762*(1.01^10)</f>
        <v>46131.229201422735</v>
      </c>
      <c r="J3169" t="s">
        <v>10022</v>
      </c>
      <c r="K3169">
        <f t="shared" si="49"/>
        <v>74.53037730290788</v>
      </c>
    </row>
    <row r="3170" spans="1:11" x14ac:dyDescent="0.2">
      <c r="A3170" t="s">
        <v>1340</v>
      </c>
      <c r="B3170" t="s">
        <v>1494</v>
      </c>
      <c r="C3170" t="s">
        <v>10023</v>
      </c>
      <c r="D3170" t="s">
        <v>10024</v>
      </c>
      <c r="E3170" t="s">
        <v>92</v>
      </c>
      <c r="F3170" t="s">
        <v>24</v>
      </c>
      <c r="G3170" t="s">
        <v>12</v>
      </c>
      <c r="H3170">
        <f>8976*(1.01^10)</f>
        <v>9915.0881976909732</v>
      </c>
      <c r="I3170">
        <f>38732*(1.01^10)</f>
        <v>42784.224161426784</v>
      </c>
      <c r="J3170" t="s">
        <v>10025</v>
      </c>
      <c r="K3170">
        <f t="shared" si="49"/>
        <v>2427.50529553559</v>
      </c>
    </row>
    <row r="3171" spans="1:11" x14ac:dyDescent="0.2">
      <c r="A3171" t="s">
        <v>1340</v>
      </c>
      <c r="B3171" t="s">
        <v>1494</v>
      </c>
      <c r="C3171" t="s">
        <v>10026</v>
      </c>
      <c r="D3171" t="s">
        <v>10027</v>
      </c>
      <c r="E3171" t="s">
        <v>1401</v>
      </c>
      <c r="F3171" t="s">
        <v>92</v>
      </c>
      <c r="G3171" t="s">
        <v>24</v>
      </c>
      <c r="H3171">
        <f>10551*(1.01^10)</f>
        <v>11654.868045213621</v>
      </c>
      <c r="I3171">
        <f>42560*(1.01^10)</f>
        <v>47012.717657500871</v>
      </c>
      <c r="J3171" t="s">
        <v>10028</v>
      </c>
      <c r="K3171">
        <f t="shared" si="49"/>
        <v>125.86509139940328</v>
      </c>
    </row>
    <row r="3172" spans="1:11" x14ac:dyDescent="0.2">
      <c r="A3172" t="s">
        <v>1340</v>
      </c>
      <c r="B3172" t="s">
        <v>1494</v>
      </c>
      <c r="C3172" t="s">
        <v>10029</v>
      </c>
      <c r="D3172" t="s">
        <v>10030</v>
      </c>
      <c r="E3172" t="s">
        <v>1223</v>
      </c>
      <c r="F3172" t="s">
        <v>108</v>
      </c>
      <c r="G3172" t="s">
        <v>12</v>
      </c>
      <c r="H3172">
        <f>12185*(1.01^10)</f>
        <v>13459.82059813553</v>
      </c>
      <c r="I3172">
        <f>48846*(1.01^10)</f>
        <v>53956.37233783571</v>
      </c>
      <c r="J3172" t="s">
        <v>10031</v>
      </c>
      <c r="K3172">
        <f t="shared" si="49"/>
        <v>153.59765005154028</v>
      </c>
    </row>
    <row r="3173" spans="1:11" x14ac:dyDescent="0.2">
      <c r="A3173" t="s">
        <v>1340</v>
      </c>
      <c r="B3173" t="s">
        <v>1494</v>
      </c>
      <c r="C3173" t="s">
        <v>10032</v>
      </c>
      <c r="D3173" t="s">
        <v>10033</v>
      </c>
      <c r="E3173" t="s">
        <v>540</v>
      </c>
      <c r="F3173" t="s">
        <v>744</v>
      </c>
      <c r="G3173" t="s">
        <v>24</v>
      </c>
      <c r="H3173">
        <f>12289*(1.01^10)</f>
        <v>13574.701299178296</v>
      </c>
      <c r="I3173">
        <f>48709*(1.01^10)</f>
        <v>53805.039106654374</v>
      </c>
      <c r="J3173" t="s">
        <v>10034</v>
      </c>
      <c r="K3173">
        <f t="shared" si="49"/>
        <v>171.95218054524315</v>
      </c>
    </row>
    <row r="3174" spans="1:11" x14ac:dyDescent="0.2">
      <c r="A3174" t="s">
        <v>1340</v>
      </c>
      <c r="B3174" t="s">
        <v>1494</v>
      </c>
      <c r="C3174" t="s">
        <v>10035</v>
      </c>
      <c r="D3174" t="s">
        <v>10036</v>
      </c>
      <c r="E3174" t="s">
        <v>253</v>
      </c>
      <c r="F3174" t="s">
        <v>382</v>
      </c>
      <c r="G3174" t="s">
        <v>24</v>
      </c>
      <c r="H3174">
        <f>5899*(1.01^10)</f>
        <v>6516.1659178006967</v>
      </c>
      <c r="I3174">
        <f>22752*(1.01^10)</f>
        <v>25132.362597355732</v>
      </c>
      <c r="J3174" t="s">
        <v>10037</v>
      </c>
      <c r="K3174">
        <f t="shared" si="49"/>
        <v>91.110364272930042</v>
      </c>
    </row>
    <row r="3175" spans="1:11" x14ac:dyDescent="0.2">
      <c r="A3175" t="s">
        <v>1340</v>
      </c>
      <c r="B3175" t="s">
        <v>1494</v>
      </c>
      <c r="C3175" t="s">
        <v>10038</v>
      </c>
      <c r="D3175" t="s">
        <v>10039</v>
      </c>
      <c r="E3175" t="s">
        <v>611</v>
      </c>
      <c r="F3175" t="s">
        <v>422</v>
      </c>
      <c r="G3175" t="s">
        <v>24</v>
      </c>
      <c r="H3175">
        <f>8916*(1.01^10)</f>
        <v>9848.8108701663023</v>
      </c>
      <c r="I3175">
        <f>35335*(1.01^10)</f>
        <v>39031.822801404916</v>
      </c>
      <c r="J3175" t="s">
        <v>10040</v>
      </c>
      <c r="K3175">
        <f t="shared" si="49"/>
        <v>134.64972477666194</v>
      </c>
    </row>
    <row r="3176" spans="1:11" x14ac:dyDescent="0.2">
      <c r="A3176" t="s">
        <v>1340</v>
      </c>
      <c r="B3176" t="s">
        <v>1494</v>
      </c>
      <c r="C3176" t="s">
        <v>10041</v>
      </c>
      <c r="D3176" t="s">
        <v>10042</v>
      </c>
      <c r="E3176" t="s">
        <v>722</v>
      </c>
      <c r="F3176" t="s">
        <v>108</v>
      </c>
      <c r="G3176" t="s">
        <v>24</v>
      </c>
      <c r="H3176">
        <f>12455*(1.01^10)</f>
        <v>13758.068571996555</v>
      </c>
      <c r="I3176">
        <f>53570*(1.01^10)</f>
        <v>59174.607258278236</v>
      </c>
      <c r="J3176" t="s">
        <v>10043</v>
      </c>
      <c r="K3176">
        <f t="shared" si="49"/>
        <v>118.79284242879828</v>
      </c>
    </row>
    <row r="3177" spans="1:11" x14ac:dyDescent="0.2">
      <c r="A3177" t="s">
        <v>1340</v>
      </c>
      <c r="B3177" t="s">
        <v>1494</v>
      </c>
      <c r="C3177" t="s">
        <v>10044</v>
      </c>
      <c r="D3177" t="s">
        <v>10045</v>
      </c>
      <c r="E3177" t="s">
        <v>731</v>
      </c>
      <c r="F3177" t="s">
        <v>422</v>
      </c>
      <c r="G3177" t="s">
        <v>12</v>
      </c>
      <c r="H3177">
        <f>22318*(1.01^10)</f>
        <v>24652.956594927269</v>
      </c>
      <c r="I3177">
        <f>97084*(1.01^10)</f>
        <v>107241.1344234214</v>
      </c>
      <c r="J3177" t="s">
        <v>10046</v>
      </c>
      <c r="K3177">
        <f t="shared" si="49"/>
        <v>96.954796954251975</v>
      </c>
    </row>
    <row r="3178" spans="1:11" x14ac:dyDescent="0.2">
      <c r="A3178" t="s">
        <v>1340</v>
      </c>
      <c r="B3178" t="s">
        <v>1494</v>
      </c>
      <c r="C3178" t="s">
        <v>10047</v>
      </c>
      <c r="D3178" t="s">
        <v>9977</v>
      </c>
      <c r="E3178" t="s">
        <v>67</v>
      </c>
      <c r="F3178" t="s">
        <v>108</v>
      </c>
      <c r="G3178" t="s">
        <v>24</v>
      </c>
      <c r="H3178">
        <f>4711*(1.01^10)</f>
        <v>5203.8748328121856</v>
      </c>
      <c r="I3178">
        <f>19364*(1.01^10)</f>
        <v>21389.90283646257</v>
      </c>
      <c r="J3178" t="s">
        <v>10048</v>
      </c>
      <c r="K3178">
        <f t="shared" si="49"/>
        <v>81.705378062773491</v>
      </c>
    </row>
    <row r="3179" spans="1:11" x14ac:dyDescent="0.2">
      <c r="A3179" t="s">
        <v>1340</v>
      </c>
      <c r="B3179" t="s">
        <v>1494</v>
      </c>
      <c r="C3179" t="s">
        <v>10049</v>
      </c>
      <c r="D3179" t="s">
        <v>10050</v>
      </c>
      <c r="E3179" t="s">
        <v>1060</v>
      </c>
      <c r="F3179" t="s">
        <v>17</v>
      </c>
      <c r="G3179" t="s">
        <v>24</v>
      </c>
      <c r="H3179">
        <f>6469*(1.01^10)</f>
        <v>7145.8005292850839</v>
      </c>
      <c r="I3179">
        <f>28538*(1.01^10)</f>
        <v>31523.706214984963</v>
      </c>
      <c r="J3179" t="s">
        <v>10051</v>
      </c>
      <c r="K3179">
        <f t="shared" si="49"/>
        <v>89.83389487037617</v>
      </c>
    </row>
    <row r="3180" spans="1:11" x14ac:dyDescent="0.2">
      <c r="A3180" t="s">
        <v>1340</v>
      </c>
      <c r="B3180" t="s">
        <v>1494</v>
      </c>
      <c r="C3180" t="s">
        <v>10052</v>
      </c>
      <c r="D3180" t="s">
        <v>10053</v>
      </c>
      <c r="E3180" t="s">
        <v>1576</v>
      </c>
      <c r="F3180" t="s">
        <v>158</v>
      </c>
      <c r="G3180" t="s">
        <v>24</v>
      </c>
      <c r="H3180">
        <f>4410*(1.01^10)</f>
        <v>4871.3835730634128</v>
      </c>
      <c r="I3180">
        <f>19506*(1.01^10)</f>
        <v>21546.759178270961</v>
      </c>
      <c r="J3180" t="s">
        <v>10054</v>
      </c>
      <c r="K3180">
        <f t="shared" si="49"/>
        <v>58.066112217650293</v>
      </c>
    </row>
    <row r="3181" spans="1:11" x14ac:dyDescent="0.2">
      <c r="A3181" t="s">
        <v>1340</v>
      </c>
      <c r="B3181" t="s">
        <v>1494</v>
      </c>
      <c r="C3181" t="s">
        <v>10055</v>
      </c>
      <c r="D3181" t="s">
        <v>10056</v>
      </c>
      <c r="E3181" t="s">
        <v>1576</v>
      </c>
      <c r="F3181" t="s">
        <v>11</v>
      </c>
      <c r="G3181" t="s">
        <v>24</v>
      </c>
      <c r="H3181">
        <f>10146*(1.01^10)</f>
        <v>11207.496084422084</v>
      </c>
      <c r="I3181">
        <f>47900*(1.01^10)</f>
        <v>52911.399807196707</v>
      </c>
      <c r="J3181" t="s">
        <v>10057</v>
      </c>
      <c r="K3181">
        <f t="shared" si="49"/>
        <v>61.878068599232272</v>
      </c>
    </row>
    <row r="3182" spans="1:11" x14ac:dyDescent="0.2">
      <c r="A3182" t="s">
        <v>1340</v>
      </c>
      <c r="B3182" t="s">
        <v>1494</v>
      </c>
      <c r="C3182" t="s">
        <v>10058</v>
      </c>
      <c r="D3182" t="s">
        <v>10059</v>
      </c>
      <c r="E3182" t="s">
        <v>484</v>
      </c>
      <c r="F3182" t="s">
        <v>744</v>
      </c>
      <c r="G3182" t="s">
        <v>24</v>
      </c>
      <c r="H3182">
        <f>7803*(1.01^10)</f>
        <v>8619.3664445836312</v>
      </c>
      <c r="I3182">
        <f>36505*(1.01^10)</f>
        <v>40324.230688136027</v>
      </c>
      <c r="J3182" t="s">
        <v>10060</v>
      </c>
      <c r="K3182">
        <f t="shared" si="49"/>
        <v>86.100245599316438</v>
      </c>
    </row>
    <row r="3183" spans="1:11" x14ac:dyDescent="0.2">
      <c r="A3183" t="s">
        <v>1340</v>
      </c>
      <c r="B3183" t="s">
        <v>1494</v>
      </c>
      <c r="C3183" t="s">
        <v>10061</v>
      </c>
      <c r="D3183" t="s">
        <v>10062</v>
      </c>
      <c r="E3183" t="s">
        <v>1140</v>
      </c>
      <c r="F3183" t="s">
        <v>274</v>
      </c>
      <c r="G3183" t="s">
        <v>12</v>
      </c>
      <c r="H3183">
        <f>13925*(1.01^10)</f>
        <v>15381.863096351026</v>
      </c>
      <c r="I3183">
        <f>63524*(1.01^10)</f>
        <v>70170.015894621363</v>
      </c>
      <c r="J3183" t="s">
        <v>10063</v>
      </c>
      <c r="K3183">
        <f t="shared" si="49"/>
        <v>93.915933948153594</v>
      </c>
    </row>
    <row r="3184" spans="1:11" x14ac:dyDescent="0.2">
      <c r="A3184" t="s">
        <v>1340</v>
      </c>
      <c r="B3184" t="s">
        <v>1494</v>
      </c>
      <c r="C3184" t="s">
        <v>10064</v>
      </c>
      <c r="D3184" t="s">
        <v>10065</v>
      </c>
      <c r="E3184" t="s">
        <v>386</v>
      </c>
      <c r="F3184" t="s">
        <v>382</v>
      </c>
      <c r="G3184" t="s">
        <v>24</v>
      </c>
      <c r="H3184">
        <f>12712*(1.01^10)</f>
        <v>14041.956458227234</v>
      </c>
      <c r="I3184">
        <f>52830*(1.01^10)</f>
        <v>58357.186885473944</v>
      </c>
      <c r="J3184" t="s">
        <v>10066</v>
      </c>
      <c r="K3184">
        <f t="shared" si="49"/>
        <v>118.14905708302803</v>
      </c>
    </row>
    <row r="3185" spans="1:11" x14ac:dyDescent="0.2">
      <c r="A3185" t="s">
        <v>1340</v>
      </c>
      <c r="B3185" t="s">
        <v>1046</v>
      </c>
      <c r="C3185" t="s">
        <v>10067</v>
      </c>
      <c r="D3185" t="s">
        <v>10068</v>
      </c>
      <c r="E3185" t="s">
        <v>725</v>
      </c>
      <c r="F3185" t="s">
        <v>744</v>
      </c>
      <c r="G3185" t="s">
        <v>24</v>
      </c>
      <c r="H3185">
        <f>19222*(1.01^10)</f>
        <v>21233.046494654176</v>
      </c>
      <c r="I3185">
        <f>77483*(1.01^10)</f>
        <v>85589.43614323638</v>
      </c>
      <c r="J3185" t="s">
        <v>10069</v>
      </c>
      <c r="K3185">
        <f t="shared" si="49"/>
        <v>139.8053497731772</v>
      </c>
    </row>
    <row r="3186" spans="1:11" x14ac:dyDescent="0.2">
      <c r="A3186" t="s">
        <v>1340</v>
      </c>
      <c r="B3186" t="s">
        <v>1046</v>
      </c>
      <c r="C3186" t="s">
        <v>10070</v>
      </c>
      <c r="D3186" t="s">
        <v>10071</v>
      </c>
      <c r="E3186" t="s">
        <v>1533</v>
      </c>
      <c r="F3186" t="s">
        <v>726</v>
      </c>
      <c r="G3186" t="s">
        <v>24</v>
      </c>
      <c r="H3186">
        <f>25757*(1.01^10)</f>
        <v>28451.752084216401</v>
      </c>
      <c r="I3186">
        <f>106227*(1.01^10)</f>
        <v>117340.69451605604</v>
      </c>
      <c r="J3186" t="s">
        <v>10072</v>
      </c>
      <c r="K3186">
        <f t="shared" si="49"/>
        <v>171.68604751056341</v>
      </c>
    </row>
    <row r="3187" spans="1:11" x14ac:dyDescent="0.2">
      <c r="A3187" t="s">
        <v>1340</v>
      </c>
      <c r="B3187" t="s">
        <v>1046</v>
      </c>
      <c r="C3187" t="s">
        <v>10073</v>
      </c>
      <c r="D3187" t="s">
        <v>10074</v>
      </c>
      <c r="E3187" t="s">
        <v>498</v>
      </c>
      <c r="F3187" t="s">
        <v>92</v>
      </c>
      <c r="G3187" t="s">
        <v>24</v>
      </c>
      <c r="H3187">
        <f>10588*(1.01^10)</f>
        <v>11695.739063853836</v>
      </c>
      <c r="I3187">
        <f>43817*(1.01^10)</f>
        <v>48401.227669142761</v>
      </c>
      <c r="J3187" t="s">
        <v>10075</v>
      </c>
      <c r="K3187">
        <f t="shared" si="49"/>
        <v>305.19406236912823</v>
      </c>
    </row>
    <row r="3188" spans="1:11" x14ac:dyDescent="0.2">
      <c r="A3188" t="s">
        <v>1340</v>
      </c>
      <c r="B3188" t="s">
        <v>1046</v>
      </c>
      <c r="C3188" t="s">
        <v>10076</v>
      </c>
      <c r="D3188" t="s">
        <v>10077</v>
      </c>
      <c r="E3188" t="s">
        <v>455</v>
      </c>
      <c r="F3188" t="s">
        <v>458</v>
      </c>
      <c r="G3188" t="s">
        <v>12</v>
      </c>
      <c r="H3188">
        <f>32493*(1.01^10)</f>
        <v>35892.486720986279</v>
      </c>
      <c r="I3188">
        <f>137398*(1.01^10)</f>
        <v>151772.87078724871</v>
      </c>
      <c r="J3188" t="s">
        <v>10078</v>
      </c>
      <c r="K3188">
        <f t="shared" si="49"/>
        <v>217.05746644710277</v>
      </c>
    </row>
    <row r="3189" spans="1:11" x14ac:dyDescent="0.2">
      <c r="A3189" t="s">
        <v>1340</v>
      </c>
      <c r="B3189" t="s">
        <v>1046</v>
      </c>
      <c r="C3189" t="s">
        <v>10079</v>
      </c>
      <c r="D3189" t="s">
        <v>10080</v>
      </c>
      <c r="E3189" t="s">
        <v>1328</v>
      </c>
      <c r="F3189" t="s">
        <v>158</v>
      </c>
      <c r="G3189" t="s">
        <v>24</v>
      </c>
      <c r="H3189">
        <f>9212*(1.01^10)</f>
        <v>10175.779019288018</v>
      </c>
      <c r="I3189">
        <f>36887*(1.01^10)</f>
        <v>40746.196340043112</v>
      </c>
      <c r="J3189" t="s">
        <v>10081</v>
      </c>
      <c r="K3189">
        <f t="shared" si="49"/>
        <v>130.12655719107056</v>
      </c>
    </row>
    <row r="3190" spans="1:11" x14ac:dyDescent="0.2">
      <c r="A3190" t="s">
        <v>1340</v>
      </c>
      <c r="B3190" t="s">
        <v>1046</v>
      </c>
      <c r="C3190" t="s">
        <v>10082</v>
      </c>
      <c r="D3190" t="s">
        <v>10083</v>
      </c>
      <c r="E3190" t="s">
        <v>1049</v>
      </c>
      <c r="F3190" t="s">
        <v>458</v>
      </c>
      <c r="G3190" t="s">
        <v>24</v>
      </c>
      <c r="H3190">
        <f>9689*(1.01^10)</f>
        <v>10702.683773109164</v>
      </c>
      <c r="I3190">
        <f>39350*(1.01^10)</f>
        <v>43466.880634930909</v>
      </c>
      <c r="J3190" t="s">
        <v>10084</v>
      </c>
      <c r="K3190">
        <f t="shared" si="49"/>
        <v>68.843508845812039</v>
      </c>
    </row>
    <row r="3191" spans="1:11" x14ac:dyDescent="0.2">
      <c r="A3191" t="s">
        <v>1340</v>
      </c>
      <c r="B3191" t="s">
        <v>431</v>
      </c>
      <c r="C3191" t="s">
        <v>10085</v>
      </c>
      <c r="D3191" t="s">
        <v>10086</v>
      </c>
      <c r="E3191" t="s">
        <v>839</v>
      </c>
      <c r="F3191" t="s">
        <v>274</v>
      </c>
      <c r="G3191" t="s">
        <v>24</v>
      </c>
      <c r="H3191">
        <f>28877*(1.01^10)</f>
        <v>31898.173115499361</v>
      </c>
      <c r="I3191">
        <f>115713*(1.01^10)</f>
        <v>127819.13999770673</v>
      </c>
      <c r="J3191" t="s">
        <v>10087</v>
      </c>
      <c r="K3191">
        <f t="shared" si="49"/>
        <v>345.16953734137178</v>
      </c>
    </row>
    <row r="3192" spans="1:11" x14ac:dyDescent="0.2">
      <c r="A3192" t="s">
        <v>1340</v>
      </c>
      <c r="B3192" t="s">
        <v>431</v>
      </c>
      <c r="C3192" t="s">
        <v>10088</v>
      </c>
      <c r="D3192" t="s">
        <v>10089</v>
      </c>
      <c r="E3192" t="s">
        <v>674</v>
      </c>
      <c r="F3192" t="s">
        <v>24</v>
      </c>
      <c r="G3192" t="s">
        <v>24</v>
      </c>
      <c r="H3192">
        <f>10878*(1.01^10)</f>
        <v>12016.079480223085</v>
      </c>
      <c r="I3192">
        <f>43215*(1.01^10)</f>
        <v>47736.245149645212</v>
      </c>
      <c r="J3192" t="s">
        <v>10090</v>
      </c>
      <c r="K3192">
        <f t="shared" si="49"/>
        <v>417.8305258102871</v>
      </c>
    </row>
    <row r="3193" spans="1:11" x14ac:dyDescent="0.2">
      <c r="A3193" t="s">
        <v>1340</v>
      </c>
      <c r="B3193" t="s">
        <v>431</v>
      </c>
      <c r="C3193" t="s">
        <v>10091</v>
      </c>
      <c r="D3193" t="s">
        <v>10092</v>
      </c>
      <c r="E3193" t="s">
        <v>410</v>
      </c>
      <c r="F3193" t="s">
        <v>152</v>
      </c>
      <c r="G3193" t="s">
        <v>12</v>
      </c>
      <c r="H3193">
        <f>24651*(1.01^10)</f>
        <v>27230.040013511607</v>
      </c>
      <c r="I3193">
        <f>96634*(1.01^10)</f>
        <v>106744.05446698636</v>
      </c>
      <c r="J3193" t="s">
        <v>10093</v>
      </c>
      <c r="K3193">
        <f t="shared" si="49"/>
        <v>353.50329920449855</v>
      </c>
    </row>
    <row r="3194" spans="1:11" x14ac:dyDescent="0.2">
      <c r="A3194" t="s">
        <v>1340</v>
      </c>
      <c r="B3194" t="s">
        <v>431</v>
      </c>
      <c r="C3194" t="s">
        <v>10094</v>
      </c>
      <c r="D3194" t="s">
        <v>10095</v>
      </c>
      <c r="E3194" t="s">
        <v>28</v>
      </c>
      <c r="F3194" t="s">
        <v>152</v>
      </c>
      <c r="G3194" t="s">
        <v>24</v>
      </c>
      <c r="H3194">
        <f>10192*(1.01^10)</f>
        <v>11258.308702191</v>
      </c>
      <c r="I3194">
        <f>41258*(1.01^10)</f>
        <v>45574.499650215483</v>
      </c>
      <c r="J3194" t="s">
        <v>10096</v>
      </c>
      <c r="K3194">
        <f t="shared" si="49"/>
        <v>124.71572931188561</v>
      </c>
    </row>
    <row r="3195" spans="1:11" x14ac:dyDescent="0.2">
      <c r="A3195" t="s">
        <v>1340</v>
      </c>
      <c r="B3195" t="s">
        <v>431</v>
      </c>
      <c r="C3195" t="s">
        <v>10097</v>
      </c>
      <c r="D3195" t="s">
        <v>10098</v>
      </c>
      <c r="E3195" t="s">
        <v>123</v>
      </c>
      <c r="F3195" t="s">
        <v>726</v>
      </c>
      <c r="G3195" t="s">
        <v>24</v>
      </c>
      <c r="H3195">
        <f>24727*(1.01^10)</f>
        <v>27313.991295042859</v>
      </c>
      <c r="I3195">
        <f>100402*(1.01^10)</f>
        <v>110906.27063553578</v>
      </c>
      <c r="J3195" t="s">
        <v>10099</v>
      </c>
      <c r="K3195">
        <f t="shared" si="49"/>
        <v>268.55903783409411</v>
      </c>
    </row>
    <row r="3196" spans="1:11" x14ac:dyDescent="0.2">
      <c r="A3196" t="s">
        <v>1340</v>
      </c>
      <c r="B3196" t="s">
        <v>431</v>
      </c>
      <c r="C3196" t="s">
        <v>10100</v>
      </c>
      <c r="D3196" t="s">
        <v>10101</v>
      </c>
      <c r="E3196" t="s">
        <v>484</v>
      </c>
      <c r="F3196" t="s">
        <v>382</v>
      </c>
      <c r="G3196" t="s">
        <v>12</v>
      </c>
      <c r="H3196">
        <f>11031*(1.01^10)</f>
        <v>12185.086665411</v>
      </c>
      <c r="I3196">
        <f>43564*(1.01^10)</f>
        <v>48121.758271413724</v>
      </c>
      <c r="J3196" t="s">
        <v>10102</v>
      </c>
      <c r="K3196">
        <f t="shared" si="49"/>
        <v>207.80460559075843</v>
      </c>
    </row>
    <row r="3197" spans="1:11" x14ac:dyDescent="0.2">
      <c r="A3197" t="s">
        <v>1340</v>
      </c>
      <c r="B3197" t="s">
        <v>431</v>
      </c>
      <c r="C3197" t="s">
        <v>10103</v>
      </c>
      <c r="D3197" t="s">
        <v>7071</v>
      </c>
      <c r="E3197" t="s">
        <v>121</v>
      </c>
      <c r="F3197" t="s">
        <v>405</v>
      </c>
      <c r="G3197" t="s">
        <v>12</v>
      </c>
      <c r="H3197">
        <f>14217*(1.01^10)</f>
        <v>15704.412756971098</v>
      </c>
      <c r="I3197">
        <f>60455*(1.01^10)</f>
        <v>66779.930591734388</v>
      </c>
      <c r="J3197" t="s">
        <v>10104</v>
      </c>
      <c r="K3197">
        <f t="shared" si="49"/>
        <v>405.18384754173542</v>
      </c>
    </row>
    <row r="3198" spans="1:11" x14ac:dyDescent="0.2">
      <c r="A3198" t="s">
        <v>1340</v>
      </c>
      <c r="B3198" t="s">
        <v>431</v>
      </c>
      <c r="C3198" t="s">
        <v>10105</v>
      </c>
      <c r="D3198" t="s">
        <v>10106</v>
      </c>
      <c r="E3198" t="s">
        <v>971</v>
      </c>
      <c r="F3198" t="s">
        <v>220</v>
      </c>
      <c r="G3198" t="s">
        <v>12</v>
      </c>
      <c r="H3198">
        <f>26563*(1.01^10)</f>
        <v>29342.077517297832</v>
      </c>
      <c r="I3198">
        <f>108942*(1.01^10)</f>
        <v>120339.74358654747</v>
      </c>
      <c r="J3198" t="s">
        <v>10107</v>
      </c>
      <c r="K3198">
        <f t="shared" si="49"/>
        <v>320.30613851728083</v>
      </c>
    </row>
    <row r="3199" spans="1:11" x14ac:dyDescent="0.2">
      <c r="A3199" t="s">
        <v>1340</v>
      </c>
      <c r="B3199" t="s">
        <v>735</v>
      </c>
      <c r="C3199" t="s">
        <v>10108</v>
      </c>
      <c r="D3199" t="s">
        <v>10109</v>
      </c>
      <c r="E3199" t="s">
        <v>540</v>
      </c>
      <c r="F3199" t="s">
        <v>92</v>
      </c>
      <c r="G3199" t="s">
        <v>12</v>
      </c>
      <c r="H3199">
        <f>39751*(1.01^10)</f>
        <v>43909.834107220799</v>
      </c>
      <c r="I3199">
        <f>152865*(1.01^10)</f>
        <v>168858.06120098382</v>
      </c>
      <c r="J3199" t="s">
        <v>10110</v>
      </c>
      <c r="K3199">
        <f t="shared" si="49"/>
        <v>340.96637815025736</v>
      </c>
    </row>
    <row r="3200" spans="1:11" x14ac:dyDescent="0.2">
      <c r="A3200" t="s">
        <v>1340</v>
      </c>
      <c r="B3200" t="s">
        <v>735</v>
      </c>
      <c r="C3200" t="s">
        <v>10111</v>
      </c>
      <c r="D3200" t="s">
        <v>10112</v>
      </c>
      <c r="E3200" t="s">
        <v>2915</v>
      </c>
      <c r="F3200" t="s">
        <v>92</v>
      </c>
      <c r="G3200" t="s">
        <v>12</v>
      </c>
      <c r="H3200">
        <f>77660*(1.01^10)</f>
        <v>85784.954259434162</v>
      </c>
      <c r="I3200">
        <f>327081*(1.01^10)</f>
        <v>361300.90940162225</v>
      </c>
      <c r="J3200" t="s">
        <v>10113</v>
      </c>
      <c r="K3200">
        <f t="shared" si="49"/>
        <v>386.70328173932086</v>
      </c>
    </row>
    <row r="3201" spans="1:11" x14ac:dyDescent="0.2">
      <c r="A3201" t="s">
        <v>1340</v>
      </c>
      <c r="B3201" t="s">
        <v>735</v>
      </c>
      <c r="C3201" t="s">
        <v>10114</v>
      </c>
      <c r="D3201" t="s">
        <v>10115</v>
      </c>
      <c r="E3201" t="s">
        <v>1646</v>
      </c>
      <c r="F3201" t="s">
        <v>158</v>
      </c>
      <c r="G3201" t="s">
        <v>12</v>
      </c>
      <c r="H3201">
        <f>47278*(1.01^10)</f>
        <v>52224.324845190939</v>
      </c>
      <c r="I3201">
        <f>185028*(1.01^10)</f>
        <v>204386.02262058438</v>
      </c>
      <c r="J3201" t="s">
        <v>10116</v>
      </c>
      <c r="K3201">
        <f t="shared" si="49"/>
        <v>240.23254751613703</v>
      </c>
    </row>
    <row r="3202" spans="1:11" x14ac:dyDescent="0.2">
      <c r="A3202" t="s">
        <v>1340</v>
      </c>
      <c r="B3202" t="s">
        <v>735</v>
      </c>
      <c r="C3202" t="s">
        <v>10117</v>
      </c>
      <c r="D3202" t="s">
        <v>10118</v>
      </c>
      <c r="E3202" t="s">
        <v>396</v>
      </c>
      <c r="F3202" t="s">
        <v>24</v>
      </c>
      <c r="G3202" t="s">
        <v>12</v>
      </c>
      <c r="H3202">
        <f>42725*(1.01^10)</f>
        <v>47194.980308193721</v>
      </c>
      <c r="I3202">
        <f>168325*(1.01^10)</f>
        <v>185935.51925984104</v>
      </c>
      <c r="J3202" t="s">
        <v>10119</v>
      </c>
      <c r="K3202">
        <f t="shared" si="49"/>
        <v>241.14450543769925</v>
      </c>
    </row>
    <row r="3203" spans="1:11" x14ac:dyDescent="0.2">
      <c r="A3203" t="s">
        <v>1340</v>
      </c>
      <c r="B3203" t="s">
        <v>735</v>
      </c>
      <c r="C3203" t="s">
        <v>10120</v>
      </c>
      <c r="D3203" t="s">
        <v>10121</v>
      </c>
      <c r="E3203" t="s">
        <v>2283</v>
      </c>
      <c r="F3203" t="s">
        <v>12</v>
      </c>
      <c r="G3203" t="s">
        <v>24</v>
      </c>
      <c r="H3203">
        <f>23398*(1.01^10)</f>
        <v>25845.948490371367</v>
      </c>
      <c r="I3203">
        <f>89819*(1.01^10)</f>
        <v>99216.054682308997</v>
      </c>
      <c r="J3203" t="s">
        <v>10122</v>
      </c>
      <c r="K3203">
        <f t="shared" ref="K3203:K3266" si="50">I3203/J3203</f>
        <v>175.35360629668298</v>
      </c>
    </row>
    <row r="3204" spans="1:11" x14ac:dyDescent="0.2">
      <c r="A3204" t="s">
        <v>1340</v>
      </c>
      <c r="B3204" t="s">
        <v>735</v>
      </c>
      <c r="C3204" t="s">
        <v>10123</v>
      </c>
      <c r="D3204" t="s">
        <v>10124</v>
      </c>
      <c r="E3204" t="s">
        <v>777</v>
      </c>
      <c r="F3204" t="s">
        <v>11</v>
      </c>
      <c r="G3204" t="s">
        <v>24</v>
      </c>
      <c r="H3204">
        <f>13925*(1.01^10)</f>
        <v>15381.863096351026</v>
      </c>
      <c r="I3204">
        <f>52422*(1.01^10)</f>
        <v>57906.501058306174</v>
      </c>
      <c r="J3204" t="s">
        <v>10125</v>
      </c>
      <c r="K3204">
        <f t="shared" si="50"/>
        <v>148.66041072631512</v>
      </c>
    </row>
    <row r="3205" spans="1:11" x14ac:dyDescent="0.2">
      <c r="A3205" t="s">
        <v>1340</v>
      </c>
      <c r="B3205" t="s">
        <v>735</v>
      </c>
      <c r="C3205" t="s">
        <v>10126</v>
      </c>
      <c r="D3205" t="s">
        <v>10127</v>
      </c>
      <c r="E3205" t="s">
        <v>1002</v>
      </c>
      <c r="F3205" t="s">
        <v>12</v>
      </c>
      <c r="G3205" t="s">
        <v>24</v>
      </c>
      <c r="H3205">
        <f>28626*(1.01^10)</f>
        <v>31620.912962021146</v>
      </c>
      <c r="I3205">
        <f>116136*(1.01^10)</f>
        <v>128286.39515675568</v>
      </c>
      <c r="J3205" t="s">
        <v>10128</v>
      </c>
      <c r="K3205">
        <f t="shared" si="50"/>
        <v>242.30814472462953</v>
      </c>
    </row>
    <row r="3206" spans="1:11" x14ac:dyDescent="0.2">
      <c r="A3206" t="s">
        <v>1340</v>
      </c>
      <c r="B3206" t="s">
        <v>735</v>
      </c>
      <c r="C3206" t="s">
        <v>10129</v>
      </c>
      <c r="D3206" t="s">
        <v>10130</v>
      </c>
      <c r="E3206" t="s">
        <v>1227</v>
      </c>
      <c r="F3206" t="s">
        <v>6</v>
      </c>
      <c r="G3206" t="s">
        <v>12</v>
      </c>
      <c r="H3206">
        <f>39836*(1.01^10)</f>
        <v>44003.726987880749</v>
      </c>
      <c r="I3206">
        <f>148991*(1.01^10)</f>
        <v>164578.7550871408</v>
      </c>
      <c r="J3206" t="s">
        <v>10131</v>
      </c>
      <c r="K3206">
        <f t="shared" si="50"/>
        <v>191.72541340940219</v>
      </c>
    </row>
    <row r="3207" spans="1:11" x14ac:dyDescent="0.2">
      <c r="A3207" t="s">
        <v>1340</v>
      </c>
      <c r="B3207" t="s">
        <v>735</v>
      </c>
      <c r="C3207" t="s">
        <v>10132</v>
      </c>
      <c r="D3207" t="s">
        <v>10133</v>
      </c>
      <c r="E3207" t="s">
        <v>1027</v>
      </c>
      <c r="F3207" t="s">
        <v>24</v>
      </c>
      <c r="G3207" t="s">
        <v>12</v>
      </c>
      <c r="H3207">
        <f>17363*(1.01^10)</f>
        <v>19179.553963514747</v>
      </c>
      <c r="I3207">
        <f>72115*(1.01^10)</f>
        <v>79659.824574029029</v>
      </c>
      <c r="J3207" t="s">
        <v>10134</v>
      </c>
      <c r="K3207">
        <f t="shared" si="50"/>
        <v>426.90326202632838</v>
      </c>
    </row>
    <row r="3208" spans="1:11" x14ac:dyDescent="0.2">
      <c r="A3208" t="s">
        <v>1340</v>
      </c>
      <c r="B3208" t="s">
        <v>735</v>
      </c>
      <c r="C3208" t="s">
        <v>10135</v>
      </c>
      <c r="D3208" t="s">
        <v>10136</v>
      </c>
      <c r="E3208" t="s">
        <v>1060</v>
      </c>
      <c r="F3208" t="s">
        <v>24</v>
      </c>
      <c r="G3208" t="s">
        <v>12</v>
      </c>
      <c r="H3208">
        <f>18114*(1.01^10)</f>
        <v>20009.125179698563</v>
      </c>
      <c r="I3208">
        <f>74579*(1.01^10)</f>
        <v>82381.613491042241</v>
      </c>
      <c r="J3208" t="s">
        <v>10137</v>
      </c>
      <c r="K3208">
        <f t="shared" si="50"/>
        <v>426.14912704233177</v>
      </c>
    </row>
    <row r="3209" spans="1:11" x14ac:dyDescent="0.2">
      <c r="A3209" t="s">
        <v>1340</v>
      </c>
      <c r="B3209" t="s">
        <v>735</v>
      </c>
      <c r="C3209" t="s">
        <v>10138</v>
      </c>
      <c r="D3209" t="s">
        <v>10139</v>
      </c>
      <c r="E3209" t="s">
        <v>1549</v>
      </c>
      <c r="F3209" t="s">
        <v>12</v>
      </c>
      <c r="G3209" t="s">
        <v>24</v>
      </c>
      <c r="H3209">
        <f>24337*(1.01^10)</f>
        <v>26883.18866613249</v>
      </c>
      <c r="I3209">
        <f>98777*(1.01^10)</f>
        <v>109111.25968174257</v>
      </c>
      <c r="J3209" t="s">
        <v>10140</v>
      </c>
      <c r="K3209">
        <f t="shared" si="50"/>
        <v>377.5143913226201</v>
      </c>
    </row>
    <row r="3210" spans="1:11" x14ac:dyDescent="0.2">
      <c r="A3210" t="s">
        <v>1340</v>
      </c>
      <c r="B3210" t="s">
        <v>735</v>
      </c>
      <c r="C3210" t="s">
        <v>10141</v>
      </c>
      <c r="D3210" t="s">
        <v>10142</v>
      </c>
      <c r="E3210" t="s">
        <v>1446</v>
      </c>
      <c r="F3210" t="s">
        <v>11</v>
      </c>
      <c r="G3210" t="s">
        <v>12</v>
      </c>
      <c r="H3210">
        <f>41736*(1.01^10)</f>
        <v>46102.509026162043</v>
      </c>
      <c r="I3210">
        <f>162859*(1.01^10)</f>
        <v>179897.6547223434</v>
      </c>
      <c r="J3210" t="s">
        <v>10143</v>
      </c>
      <c r="K3210">
        <f t="shared" si="50"/>
        <v>351.70254282987275</v>
      </c>
    </row>
    <row r="3211" spans="1:11" x14ac:dyDescent="0.2">
      <c r="A3211" t="s">
        <v>1340</v>
      </c>
      <c r="B3211" t="s">
        <v>2947</v>
      </c>
      <c r="C3211" t="s">
        <v>10144</v>
      </c>
      <c r="D3211" t="s">
        <v>10145</v>
      </c>
      <c r="E3211" t="s">
        <v>535</v>
      </c>
      <c r="F3211" t="s">
        <v>12</v>
      </c>
      <c r="G3211" t="s">
        <v>12</v>
      </c>
      <c r="H3211">
        <f>18297*(1.01^10)</f>
        <v>20211.271028648815</v>
      </c>
      <c r="I3211">
        <f>75537*(1.01^10)</f>
        <v>83439.841487186175</v>
      </c>
      <c r="J3211" t="s">
        <v>10146</v>
      </c>
      <c r="K3211">
        <f t="shared" si="50"/>
        <v>241.42034714548811</v>
      </c>
    </row>
    <row r="3212" spans="1:11" x14ac:dyDescent="0.2">
      <c r="A3212" t="s">
        <v>1340</v>
      </c>
      <c r="B3212" t="s">
        <v>2947</v>
      </c>
      <c r="C3212" t="s">
        <v>10147</v>
      </c>
      <c r="D3212" t="s">
        <v>10148</v>
      </c>
      <c r="E3212" t="s">
        <v>315</v>
      </c>
      <c r="F3212" t="s">
        <v>17</v>
      </c>
      <c r="G3212" t="s">
        <v>24</v>
      </c>
      <c r="H3212">
        <f>23501*(1.01^10)</f>
        <v>25959.724569288723</v>
      </c>
      <c r="I3212">
        <f>99624*(1.01^10)</f>
        <v>110046.87462196586</v>
      </c>
      <c r="J3212" t="s">
        <v>10149</v>
      </c>
      <c r="K3212">
        <f t="shared" si="50"/>
        <v>166.99312993847411</v>
      </c>
    </row>
    <row r="3213" spans="1:11" x14ac:dyDescent="0.2">
      <c r="A3213" t="s">
        <v>1340</v>
      </c>
      <c r="B3213" t="s">
        <v>2947</v>
      </c>
      <c r="C3213" t="s">
        <v>10150</v>
      </c>
      <c r="D3213" t="s">
        <v>10151</v>
      </c>
      <c r="E3213" t="s">
        <v>2400</v>
      </c>
      <c r="F3213" t="s">
        <v>5</v>
      </c>
      <c r="G3213" t="s">
        <v>24</v>
      </c>
      <c r="H3213">
        <f>31337*(1.01^10)</f>
        <v>34615.543544010921</v>
      </c>
      <c r="I3213">
        <f>127206*(1.01^10)</f>
        <v>140514.56208505773</v>
      </c>
      <c r="J3213" t="s">
        <v>10152</v>
      </c>
      <c r="K3213">
        <f t="shared" si="50"/>
        <v>124.94272177014909</v>
      </c>
    </row>
    <row r="3214" spans="1:11" x14ac:dyDescent="0.2">
      <c r="A3214" t="s">
        <v>1340</v>
      </c>
      <c r="B3214" t="s">
        <v>2947</v>
      </c>
      <c r="C3214" t="s">
        <v>10153</v>
      </c>
      <c r="D3214" t="s">
        <v>10154</v>
      </c>
      <c r="E3214" t="s">
        <v>839</v>
      </c>
      <c r="F3214" t="s">
        <v>17</v>
      </c>
      <c r="G3214" t="s">
        <v>12</v>
      </c>
      <c r="H3214">
        <f>31793*(1.01^10)</f>
        <v>35119.251233198433</v>
      </c>
      <c r="I3214">
        <f>126837*(1.01^10)</f>
        <v>140106.95652078098</v>
      </c>
      <c r="J3214" t="s">
        <v>10155</v>
      </c>
      <c r="K3214">
        <f t="shared" si="50"/>
        <v>329.2708674136066</v>
      </c>
    </row>
    <row r="3215" spans="1:11" x14ac:dyDescent="0.2">
      <c r="A3215" t="s">
        <v>1340</v>
      </c>
      <c r="B3215" t="s">
        <v>2947</v>
      </c>
      <c r="C3215" t="s">
        <v>10156</v>
      </c>
      <c r="D3215" t="s">
        <v>10157</v>
      </c>
      <c r="E3215" t="s">
        <v>394</v>
      </c>
      <c r="F3215" t="s">
        <v>12</v>
      </c>
      <c r="G3215" t="s">
        <v>24</v>
      </c>
      <c r="H3215">
        <f>20129*(1.01^10)</f>
        <v>22234.93876240214</v>
      </c>
      <c r="I3215">
        <f>76670*(1.01^10)</f>
        <v>84691.378355277062</v>
      </c>
      <c r="J3215" t="s">
        <v>10158</v>
      </c>
      <c r="K3215">
        <f t="shared" si="50"/>
        <v>152.5154608179364</v>
      </c>
    </row>
    <row r="3216" spans="1:11" x14ac:dyDescent="0.2">
      <c r="A3216" t="s">
        <v>1340</v>
      </c>
      <c r="B3216" t="s">
        <v>2947</v>
      </c>
      <c r="C3216" t="s">
        <v>10159</v>
      </c>
      <c r="D3216" t="s">
        <v>10160</v>
      </c>
      <c r="E3216" t="s">
        <v>560</v>
      </c>
      <c r="F3216" t="s">
        <v>17</v>
      </c>
      <c r="G3216" t="s">
        <v>24</v>
      </c>
      <c r="H3216">
        <f>27153*(1.01^10)</f>
        <v>29993.804571290442</v>
      </c>
      <c r="I3216">
        <f>104508*(1.01^10)</f>
        <v>115441.84908247419</v>
      </c>
      <c r="J3216" t="s">
        <v>10161</v>
      </c>
      <c r="K3216">
        <f t="shared" si="50"/>
        <v>155.59176580822447</v>
      </c>
    </row>
    <row r="3217" spans="1:11" x14ac:dyDescent="0.2">
      <c r="A3217" t="s">
        <v>1340</v>
      </c>
      <c r="B3217" t="s">
        <v>511</v>
      </c>
      <c r="C3217" t="s">
        <v>10162</v>
      </c>
      <c r="D3217" t="s">
        <v>10163</v>
      </c>
      <c r="E3217" t="s">
        <v>560</v>
      </c>
      <c r="F3217" t="s">
        <v>158</v>
      </c>
      <c r="G3217" t="s">
        <v>12</v>
      </c>
      <c r="H3217">
        <f>36947*(1.01^10)</f>
        <v>40812.473667567785</v>
      </c>
      <c r="I3217">
        <f>141365*(1.01^10)</f>
        <v>156154.90675875495</v>
      </c>
      <c r="J3217" t="s">
        <v>10164</v>
      </c>
      <c r="K3217">
        <f t="shared" si="50"/>
        <v>308.41888808818538</v>
      </c>
    </row>
    <row r="3218" spans="1:11" x14ac:dyDescent="0.2">
      <c r="A3218" t="s">
        <v>1340</v>
      </c>
      <c r="B3218" t="s">
        <v>511</v>
      </c>
      <c r="C3218" t="s">
        <v>10165</v>
      </c>
      <c r="D3218" t="s">
        <v>10166</v>
      </c>
      <c r="E3218" t="s">
        <v>2769</v>
      </c>
      <c r="F3218" t="s">
        <v>796</v>
      </c>
      <c r="G3218" t="s">
        <v>12</v>
      </c>
      <c r="H3218">
        <f>37014*(1.01^10)</f>
        <v>40886.483349970331</v>
      </c>
      <c r="I3218">
        <f>137942*(1.01^10)</f>
        <v>152373.7852234724</v>
      </c>
      <c r="J3218" t="s">
        <v>10167</v>
      </c>
      <c r="K3218">
        <f t="shared" si="50"/>
        <v>136.95985742442241</v>
      </c>
    </row>
    <row r="3219" spans="1:11" x14ac:dyDescent="0.2">
      <c r="A3219" t="s">
        <v>1340</v>
      </c>
      <c r="B3219" t="s">
        <v>511</v>
      </c>
      <c r="C3219" t="s">
        <v>10168</v>
      </c>
      <c r="D3219" t="s">
        <v>10169</v>
      </c>
      <c r="E3219" t="s">
        <v>971</v>
      </c>
      <c r="F3219" t="s">
        <v>744</v>
      </c>
      <c r="G3219" t="s">
        <v>24</v>
      </c>
      <c r="H3219">
        <f>28822*(1.01^10)</f>
        <v>31837.418898601743</v>
      </c>
      <c r="I3219">
        <f>109499*(1.01^10)</f>
        <v>120955.01811040151</v>
      </c>
      <c r="J3219" t="s">
        <v>10170</v>
      </c>
      <c r="K3219">
        <f t="shared" si="50"/>
        <v>210.20332571576313</v>
      </c>
    </row>
    <row r="3220" spans="1:11" x14ac:dyDescent="0.2">
      <c r="A3220" t="s">
        <v>1340</v>
      </c>
      <c r="B3220" t="s">
        <v>511</v>
      </c>
      <c r="C3220" t="s">
        <v>10171</v>
      </c>
      <c r="D3220" t="s">
        <v>10172</v>
      </c>
      <c r="E3220" t="s">
        <v>157</v>
      </c>
      <c r="F3220" t="s">
        <v>1656</v>
      </c>
      <c r="G3220" t="s">
        <v>24</v>
      </c>
      <c r="H3220">
        <f>11269*(1.01^10)</f>
        <v>12447.986731258867</v>
      </c>
      <c r="I3220">
        <f>47451*(1.01^10)</f>
        <v>52415.424472887076</v>
      </c>
      <c r="J3220" t="s">
        <v>10173</v>
      </c>
      <c r="K3220">
        <f t="shared" si="50"/>
        <v>120.8445491926949</v>
      </c>
    </row>
    <row r="3221" spans="1:11" x14ac:dyDescent="0.2">
      <c r="A3221" t="s">
        <v>1340</v>
      </c>
      <c r="B3221" t="s">
        <v>511</v>
      </c>
      <c r="C3221" t="s">
        <v>10174</v>
      </c>
      <c r="D3221" t="s">
        <v>10175</v>
      </c>
      <c r="E3221" t="s">
        <v>2283</v>
      </c>
      <c r="F3221" t="s">
        <v>458</v>
      </c>
      <c r="G3221" t="s">
        <v>24</v>
      </c>
      <c r="H3221">
        <f>5409*(1.01^10)</f>
        <v>5974.9010763492061</v>
      </c>
      <c r="I3221">
        <f>23395*(1.01^10)</f>
        <v>25842.634623995134</v>
      </c>
      <c r="J3221" t="s">
        <v>10176</v>
      </c>
      <c r="K3221">
        <f t="shared" si="50"/>
        <v>105.55334797448559</v>
      </c>
    </row>
    <row r="3222" spans="1:11" x14ac:dyDescent="0.2">
      <c r="A3222" t="s">
        <v>1340</v>
      </c>
      <c r="B3222" t="s">
        <v>511</v>
      </c>
      <c r="C3222" t="s">
        <v>10177</v>
      </c>
      <c r="D3222" t="s">
        <v>9064</v>
      </c>
      <c r="E3222" t="s">
        <v>960</v>
      </c>
      <c r="F3222" t="s">
        <v>796</v>
      </c>
      <c r="G3222" t="s">
        <v>12</v>
      </c>
      <c r="H3222">
        <f>52948*(1.01^10)</f>
        <v>58487.532296272468</v>
      </c>
      <c r="I3222">
        <f>219195*(1.01^10)</f>
        <v>242127.64677950903</v>
      </c>
      <c r="J3222" t="s">
        <v>10178</v>
      </c>
      <c r="K3222">
        <f t="shared" si="50"/>
        <v>248.3452398860889</v>
      </c>
    </row>
    <row r="3223" spans="1:11" x14ac:dyDescent="0.2">
      <c r="A3223" t="s">
        <v>1340</v>
      </c>
      <c r="B3223" t="s">
        <v>511</v>
      </c>
      <c r="C3223" t="s">
        <v>10179</v>
      </c>
      <c r="D3223" t="s">
        <v>10180</v>
      </c>
      <c r="E3223" t="s">
        <v>1617</v>
      </c>
      <c r="F3223" t="s">
        <v>12</v>
      </c>
      <c r="G3223" t="s">
        <v>24</v>
      </c>
      <c r="H3223">
        <f>26148*(1.01^10)</f>
        <v>28883.659335252181</v>
      </c>
      <c r="I3223">
        <f>102668*(1.01^10)</f>
        <v>113409.34437171757</v>
      </c>
      <c r="J3223" t="s">
        <v>10181</v>
      </c>
      <c r="K3223">
        <f t="shared" si="50"/>
        <v>215.12569381764177</v>
      </c>
    </row>
    <row r="3224" spans="1:11" x14ac:dyDescent="0.2">
      <c r="A3224" t="s">
        <v>1340</v>
      </c>
      <c r="B3224" t="s">
        <v>511</v>
      </c>
      <c r="C3224" t="s">
        <v>10182</v>
      </c>
      <c r="D3224" t="s">
        <v>10183</v>
      </c>
      <c r="E3224" t="s">
        <v>598</v>
      </c>
      <c r="F3224" t="s">
        <v>6</v>
      </c>
      <c r="G3224" t="s">
        <v>12</v>
      </c>
      <c r="H3224">
        <f>45315*(1.01^10)</f>
        <v>50055.951613008743</v>
      </c>
      <c r="I3224">
        <f>181649*(1.01^10)</f>
        <v>200653.50445881992</v>
      </c>
      <c r="J3224" t="s">
        <v>10184</v>
      </c>
      <c r="K3224">
        <f t="shared" si="50"/>
        <v>340.69404603283277</v>
      </c>
    </row>
    <row r="3225" spans="1:11" x14ac:dyDescent="0.2">
      <c r="A3225" t="s">
        <v>1340</v>
      </c>
      <c r="B3225" t="s">
        <v>511</v>
      </c>
      <c r="C3225" t="s">
        <v>10185</v>
      </c>
      <c r="D3225" t="s">
        <v>10186</v>
      </c>
      <c r="E3225" t="s">
        <v>777</v>
      </c>
      <c r="F3225" t="s">
        <v>12</v>
      </c>
      <c r="G3225" t="s">
        <v>24</v>
      </c>
      <c r="H3225">
        <f>20625*(1.01^10)</f>
        <v>22782.831336606097</v>
      </c>
      <c r="I3225">
        <f>78214*(1.01^10)</f>
        <v>86396.914916911963</v>
      </c>
      <c r="J3225" t="s">
        <v>10187</v>
      </c>
      <c r="K3225">
        <f t="shared" si="50"/>
        <v>236.2701750674432</v>
      </c>
    </row>
    <row r="3226" spans="1:11" x14ac:dyDescent="0.2">
      <c r="A3226" t="s">
        <v>1340</v>
      </c>
      <c r="B3226" t="s">
        <v>511</v>
      </c>
      <c r="C3226" t="s">
        <v>10188</v>
      </c>
      <c r="D3226" t="s">
        <v>10189</v>
      </c>
      <c r="E3226" t="s">
        <v>425</v>
      </c>
      <c r="F3226" t="s">
        <v>24</v>
      </c>
      <c r="G3226" t="s">
        <v>24</v>
      </c>
      <c r="H3226">
        <f>27846*(1.01^10)</f>
        <v>30759.307704200408</v>
      </c>
      <c r="I3226">
        <f>108110*(1.01^10)</f>
        <v>119420.69797820534</v>
      </c>
      <c r="J3226" t="s">
        <v>10190</v>
      </c>
      <c r="K3226">
        <f t="shared" si="50"/>
        <v>522.92638252925224</v>
      </c>
    </row>
    <row r="3227" spans="1:11" x14ac:dyDescent="0.2">
      <c r="A3227" t="s">
        <v>1340</v>
      </c>
      <c r="B3227" t="s">
        <v>511</v>
      </c>
      <c r="C3227" t="s">
        <v>10191</v>
      </c>
      <c r="D3227" t="s">
        <v>10192</v>
      </c>
      <c r="E3227" t="s">
        <v>337</v>
      </c>
      <c r="F3227" t="s">
        <v>17</v>
      </c>
      <c r="G3227" t="s">
        <v>24</v>
      </c>
      <c r="H3227">
        <f>41585*(1.01^10)</f>
        <v>45935.711085224946</v>
      </c>
      <c r="I3227">
        <f>158742*(1.01^10)</f>
        <v>175349.92543202545</v>
      </c>
      <c r="J3227" t="s">
        <v>10193</v>
      </c>
      <c r="K3227">
        <f t="shared" si="50"/>
        <v>257.34393232949157</v>
      </c>
    </row>
    <row r="3228" spans="1:11" x14ac:dyDescent="0.2">
      <c r="A3228" t="s">
        <v>1340</v>
      </c>
      <c r="B3228" t="s">
        <v>511</v>
      </c>
      <c r="C3228" t="s">
        <v>10194</v>
      </c>
      <c r="D3228" t="s">
        <v>10195</v>
      </c>
      <c r="E3228" t="s">
        <v>1282</v>
      </c>
      <c r="F3228" t="s">
        <v>12</v>
      </c>
      <c r="G3228" t="s">
        <v>12</v>
      </c>
      <c r="H3228">
        <f>48550*(1.01^10)</f>
        <v>53629.40418871399</v>
      </c>
      <c r="I3228">
        <f>190799*(1.01^10)</f>
        <v>210760.79690633246</v>
      </c>
      <c r="J3228" t="s">
        <v>10196</v>
      </c>
      <c r="K3228">
        <f t="shared" si="50"/>
        <v>357.05682654589378</v>
      </c>
    </row>
    <row r="3229" spans="1:11" x14ac:dyDescent="0.2">
      <c r="A3229" t="s">
        <v>1340</v>
      </c>
      <c r="B3229" t="s">
        <v>511</v>
      </c>
      <c r="C3229" t="s">
        <v>10197</v>
      </c>
      <c r="D3229" t="s">
        <v>10198</v>
      </c>
      <c r="E3229" t="s">
        <v>966</v>
      </c>
      <c r="F3229" t="s">
        <v>61</v>
      </c>
      <c r="G3229" t="s">
        <v>24</v>
      </c>
      <c r="H3229">
        <f>18773*(1.01^10)</f>
        <v>20737.071160344545</v>
      </c>
      <c r="I3229">
        <f>77840*(1.01^10)</f>
        <v>85983.78624200818</v>
      </c>
      <c r="J3229" t="s">
        <v>10199</v>
      </c>
      <c r="K3229">
        <f t="shared" si="50"/>
        <v>78.857641095174557</v>
      </c>
    </row>
    <row r="3230" spans="1:11" x14ac:dyDescent="0.2">
      <c r="A3230" t="s">
        <v>1340</v>
      </c>
      <c r="B3230" t="s">
        <v>10200</v>
      </c>
      <c r="C3230" t="s">
        <v>10201</v>
      </c>
      <c r="D3230" t="s">
        <v>10202</v>
      </c>
      <c r="E3230" t="s">
        <v>573</v>
      </c>
      <c r="F3230" t="s">
        <v>789</v>
      </c>
      <c r="G3230" t="s">
        <v>24</v>
      </c>
      <c r="H3230">
        <f>13377*(1.01^10)</f>
        <v>14776.530171625685</v>
      </c>
      <c r="I3230">
        <f>54514*(1.01^10)</f>
        <v>60217.370544666417</v>
      </c>
      <c r="J3230" t="s">
        <v>10203</v>
      </c>
      <c r="K3230">
        <f t="shared" si="50"/>
        <v>127.1681504795887</v>
      </c>
    </row>
    <row r="3231" spans="1:11" x14ac:dyDescent="0.2">
      <c r="A3231" t="s">
        <v>1340</v>
      </c>
      <c r="B3231" t="s">
        <v>10200</v>
      </c>
      <c r="C3231" t="s">
        <v>10204</v>
      </c>
      <c r="D3231" t="s">
        <v>10205</v>
      </c>
      <c r="E3231" t="s">
        <v>2777</v>
      </c>
      <c r="F3231" t="s">
        <v>411</v>
      </c>
      <c r="G3231" t="s">
        <v>12</v>
      </c>
      <c r="H3231">
        <f>12816*(1.01^10)</f>
        <v>14156.83715927</v>
      </c>
      <c r="I3231">
        <f>55233*(1.01^10)</f>
        <v>61011.593852837075</v>
      </c>
      <c r="J3231" t="s">
        <v>10206</v>
      </c>
      <c r="K3231">
        <f t="shared" si="50"/>
        <v>157.16667312739176</v>
      </c>
    </row>
    <row r="3232" spans="1:11" x14ac:dyDescent="0.2">
      <c r="A3232" t="s">
        <v>1340</v>
      </c>
      <c r="B3232" t="s">
        <v>10200</v>
      </c>
      <c r="C3232" t="s">
        <v>10207</v>
      </c>
      <c r="D3232" t="s">
        <v>7074</v>
      </c>
      <c r="E3232" t="s">
        <v>761</v>
      </c>
      <c r="F3232" t="s">
        <v>11</v>
      </c>
      <c r="G3232" t="s">
        <v>24</v>
      </c>
      <c r="H3232">
        <f>5885*(1.01^10)</f>
        <v>6500.7012080449404</v>
      </c>
      <c r="I3232">
        <f>28952*(1.01^10)</f>
        <v>31981.019774905199</v>
      </c>
      <c r="J3232" t="s">
        <v>10208</v>
      </c>
      <c r="K3232">
        <f t="shared" si="50"/>
        <v>52.340078210782629</v>
      </c>
    </row>
    <row r="3233" spans="1:11" x14ac:dyDescent="0.2">
      <c r="A3233" t="s">
        <v>1340</v>
      </c>
      <c r="B3233" t="s">
        <v>10200</v>
      </c>
      <c r="C3233" t="s">
        <v>10209</v>
      </c>
      <c r="D3233" t="s">
        <v>10210</v>
      </c>
      <c r="E3233" t="s">
        <v>5374</v>
      </c>
      <c r="F3233" t="s">
        <v>220</v>
      </c>
      <c r="G3233" t="s">
        <v>12</v>
      </c>
      <c r="H3233">
        <f>20705*(1.01^10)</f>
        <v>22871.201106638993</v>
      </c>
      <c r="I3233">
        <f>87895*(1.01^10)</f>
        <v>97090.761713017841</v>
      </c>
      <c r="J3233" t="s">
        <v>10211</v>
      </c>
      <c r="K3233">
        <f t="shared" si="50"/>
        <v>145.98255245367042</v>
      </c>
    </row>
    <row r="3234" spans="1:11" x14ac:dyDescent="0.2">
      <c r="A3234" t="s">
        <v>1340</v>
      </c>
      <c r="B3234" t="s">
        <v>10200</v>
      </c>
      <c r="C3234" t="s">
        <v>10212</v>
      </c>
      <c r="D3234" t="s">
        <v>10213</v>
      </c>
      <c r="E3234" t="s">
        <v>1646</v>
      </c>
      <c r="F3234" t="s">
        <v>356</v>
      </c>
      <c r="G3234" t="s">
        <v>12</v>
      </c>
      <c r="H3234">
        <f>15509*(1.01^10)</f>
        <v>17131.584543002373</v>
      </c>
      <c r="I3234">
        <f>66029*(1.01^10)</f>
        <v>72937.094318776435</v>
      </c>
      <c r="J3234" t="s">
        <v>10214</v>
      </c>
      <c r="K3234">
        <f t="shared" si="50"/>
        <v>132.04823765746545</v>
      </c>
    </row>
    <row r="3235" spans="1:11" x14ac:dyDescent="0.2">
      <c r="A3235" t="s">
        <v>1340</v>
      </c>
      <c r="B3235" t="s">
        <v>10200</v>
      </c>
      <c r="C3235" t="s">
        <v>10215</v>
      </c>
      <c r="D3235" t="s">
        <v>10216</v>
      </c>
      <c r="E3235" t="s">
        <v>2484</v>
      </c>
      <c r="F3235" t="s">
        <v>726</v>
      </c>
      <c r="G3235" t="s">
        <v>24</v>
      </c>
      <c r="H3235">
        <f>17625*(1.01^10)</f>
        <v>19468.964960372483</v>
      </c>
      <c r="I3235">
        <f>70542*(1.01^10)</f>
        <v>77922.2539707572</v>
      </c>
      <c r="J3235" t="s">
        <v>10217</v>
      </c>
      <c r="K3235">
        <f t="shared" si="50"/>
        <v>101.22645499930627</v>
      </c>
    </row>
    <row r="3236" spans="1:11" x14ac:dyDescent="0.2">
      <c r="A3236" t="s">
        <v>1340</v>
      </c>
      <c r="B3236" t="s">
        <v>10200</v>
      </c>
      <c r="C3236" t="s">
        <v>10218</v>
      </c>
      <c r="D3236" t="s">
        <v>10219</v>
      </c>
      <c r="E3236" t="s">
        <v>16</v>
      </c>
      <c r="F3236" t="s">
        <v>17</v>
      </c>
      <c r="G3236" t="s">
        <v>24</v>
      </c>
      <c r="H3236">
        <f>3798*(1.01^10)</f>
        <v>4195.3548323117557</v>
      </c>
      <c r="I3236">
        <f>15258*(1.01^10)</f>
        <v>16854.324389524161</v>
      </c>
      <c r="J3236" t="s">
        <v>10220</v>
      </c>
      <c r="K3236">
        <f t="shared" si="50"/>
        <v>125.52409317130596</v>
      </c>
    </row>
    <row r="3237" spans="1:11" x14ac:dyDescent="0.2">
      <c r="A3237" t="s">
        <v>1340</v>
      </c>
      <c r="B3237" t="s">
        <v>10200</v>
      </c>
      <c r="C3237" t="s">
        <v>10221</v>
      </c>
      <c r="D3237" t="s">
        <v>10222</v>
      </c>
      <c r="E3237" t="s">
        <v>1106</v>
      </c>
      <c r="F3237" t="s">
        <v>24</v>
      </c>
      <c r="G3237" t="s">
        <v>24</v>
      </c>
      <c r="H3237">
        <f>8377*(1.01^10)</f>
        <v>9253.4195445696623</v>
      </c>
      <c r="I3237">
        <f>35376*(1.01^10)</f>
        <v>39077.112308546777</v>
      </c>
      <c r="J3237" t="s">
        <v>10223</v>
      </c>
      <c r="K3237">
        <f t="shared" si="50"/>
        <v>166.25370985945406</v>
      </c>
    </row>
    <row r="3238" spans="1:11" x14ac:dyDescent="0.2">
      <c r="A3238" t="s">
        <v>1340</v>
      </c>
      <c r="B3238" t="s">
        <v>10200</v>
      </c>
      <c r="C3238" t="s">
        <v>10224</v>
      </c>
      <c r="D3238" t="s">
        <v>10225</v>
      </c>
      <c r="E3238" t="s">
        <v>619</v>
      </c>
      <c r="F3238" t="s">
        <v>5</v>
      </c>
      <c r="G3238" t="s">
        <v>24</v>
      </c>
      <c r="H3238">
        <f>4780*(1.01^10)</f>
        <v>5280.0937594655588</v>
      </c>
      <c r="I3238">
        <f>19457*(1.01^10)</f>
        <v>21492.632694125812</v>
      </c>
      <c r="J3238" t="s">
        <v>10226</v>
      </c>
      <c r="K3238">
        <f t="shared" si="50"/>
        <v>110.88990434120367</v>
      </c>
    </row>
    <row r="3239" spans="1:11" x14ac:dyDescent="0.2">
      <c r="A3239" t="s">
        <v>1340</v>
      </c>
      <c r="B3239" t="s">
        <v>10200</v>
      </c>
      <c r="C3239" t="s">
        <v>10227</v>
      </c>
      <c r="D3239" t="s">
        <v>10011</v>
      </c>
      <c r="E3239" t="s">
        <v>2550</v>
      </c>
      <c r="F3239" t="s">
        <v>44</v>
      </c>
      <c r="G3239" t="s">
        <v>17</v>
      </c>
      <c r="H3239">
        <f>50909*(1.01^10)</f>
        <v>56235.207782559024</v>
      </c>
      <c r="I3239">
        <f>222518*(1.01^10)</f>
        <v>245798.30610225047</v>
      </c>
      <c r="J3239" t="s">
        <v>10228</v>
      </c>
      <c r="K3239">
        <f t="shared" si="50"/>
        <v>275.34833681281549</v>
      </c>
    </row>
    <row r="3240" spans="1:11" x14ac:dyDescent="0.2">
      <c r="A3240" t="s">
        <v>1340</v>
      </c>
      <c r="B3240" t="s">
        <v>10200</v>
      </c>
      <c r="C3240" t="s">
        <v>10229</v>
      </c>
      <c r="D3240" t="s">
        <v>10230</v>
      </c>
      <c r="E3240" t="s">
        <v>771</v>
      </c>
      <c r="F3240" t="s">
        <v>405</v>
      </c>
      <c r="G3240" t="s">
        <v>24</v>
      </c>
      <c r="H3240">
        <f>10793*(1.01^10)</f>
        <v>11922.186599563132</v>
      </c>
      <c r="I3240">
        <f>47586*(1.01^10)</f>
        <v>52564.54845981759</v>
      </c>
      <c r="J3240" t="s">
        <v>10231</v>
      </c>
      <c r="K3240">
        <f t="shared" si="50"/>
        <v>153.66068211382589</v>
      </c>
    </row>
    <row r="3241" spans="1:11" x14ac:dyDescent="0.2">
      <c r="A3241" t="s">
        <v>1340</v>
      </c>
      <c r="B3241" t="s">
        <v>10200</v>
      </c>
      <c r="C3241" t="s">
        <v>10232</v>
      </c>
      <c r="D3241" t="s">
        <v>10233</v>
      </c>
      <c r="E3241" t="s">
        <v>809</v>
      </c>
      <c r="F3241" t="s">
        <v>152</v>
      </c>
      <c r="G3241" t="s">
        <v>12</v>
      </c>
      <c r="H3241">
        <f>27226*(1.01^10)</f>
        <v>30074.441986445461</v>
      </c>
      <c r="I3241">
        <f>114856*(1.01^10)</f>
        <v>126872.47883622933</v>
      </c>
      <c r="J3241" t="s">
        <v>10234</v>
      </c>
      <c r="K3241">
        <f t="shared" si="50"/>
        <v>199.08983354851074</v>
      </c>
    </row>
    <row r="3242" spans="1:11" x14ac:dyDescent="0.2">
      <c r="A3242" t="s">
        <v>1340</v>
      </c>
      <c r="B3242" t="s">
        <v>10200</v>
      </c>
      <c r="C3242" t="s">
        <v>10235</v>
      </c>
      <c r="D3242" t="s">
        <v>10236</v>
      </c>
      <c r="E3242" t="s">
        <v>236</v>
      </c>
      <c r="F3242" t="s">
        <v>405</v>
      </c>
      <c r="G3242" t="s">
        <v>12</v>
      </c>
      <c r="H3242">
        <f>15340*(1.01^10)</f>
        <v>16944.903403807883</v>
      </c>
      <c r="I3242">
        <f>65526*(1.01^10)</f>
        <v>72381.469389694597</v>
      </c>
      <c r="J3242" t="s">
        <v>10237</v>
      </c>
      <c r="K3242">
        <f t="shared" si="50"/>
        <v>125.98422777578998</v>
      </c>
    </row>
    <row r="3243" spans="1:11" x14ac:dyDescent="0.2">
      <c r="A3243" t="s">
        <v>1340</v>
      </c>
      <c r="B3243" t="s">
        <v>10200</v>
      </c>
      <c r="C3243" t="s">
        <v>10238</v>
      </c>
      <c r="D3243" t="s">
        <v>8961</v>
      </c>
      <c r="E3243" t="s">
        <v>287</v>
      </c>
      <c r="F3243" t="s">
        <v>6</v>
      </c>
      <c r="G3243" t="s">
        <v>24</v>
      </c>
      <c r="H3243">
        <f>10507*(1.01^10)</f>
        <v>11606.264671695528</v>
      </c>
      <c r="I3243">
        <f>44779*(1.01^10)</f>
        <v>49463.87415378834</v>
      </c>
      <c r="J3243" t="s">
        <v>10239</v>
      </c>
      <c r="K3243">
        <f t="shared" si="50"/>
        <v>229.77729054557011</v>
      </c>
    </row>
    <row r="3244" spans="1:11" x14ac:dyDescent="0.2">
      <c r="A3244" t="s">
        <v>1340</v>
      </c>
      <c r="B3244" t="s">
        <v>10200</v>
      </c>
      <c r="C3244" t="s">
        <v>10240</v>
      </c>
      <c r="D3244" t="s">
        <v>10241</v>
      </c>
      <c r="E3244" t="s">
        <v>837</v>
      </c>
      <c r="F3244" t="s">
        <v>11</v>
      </c>
      <c r="G3244" t="s">
        <v>24</v>
      </c>
      <c r="H3244">
        <f>8497*(1.01^10)</f>
        <v>9385.974199619006</v>
      </c>
      <c r="I3244">
        <f>39390*(1.01^10)</f>
        <v>43511.065519947355</v>
      </c>
      <c r="J3244" t="s">
        <v>10242</v>
      </c>
      <c r="K3244">
        <f t="shared" si="50"/>
        <v>112.11959305380246</v>
      </c>
    </row>
    <row r="3245" spans="1:11" x14ac:dyDescent="0.2">
      <c r="A3245" t="s">
        <v>1340</v>
      </c>
      <c r="B3245" t="s">
        <v>88</v>
      </c>
      <c r="C3245" t="s">
        <v>10243</v>
      </c>
      <c r="D3245" t="s">
        <v>10244</v>
      </c>
      <c r="E3245" t="s">
        <v>542</v>
      </c>
      <c r="F3245" t="s">
        <v>24</v>
      </c>
      <c r="G3245" t="s">
        <v>12</v>
      </c>
      <c r="H3245">
        <f>27260*(1.01^10)</f>
        <v>30111.999138709441</v>
      </c>
      <c r="I3245">
        <f>133537*(1.01^10)</f>
        <v>147507.92476103606</v>
      </c>
      <c r="J3245" t="s">
        <v>10245</v>
      </c>
      <c r="K3245">
        <f t="shared" si="50"/>
        <v>251.73916016170207</v>
      </c>
    </row>
    <row r="3246" spans="1:11" x14ac:dyDescent="0.2">
      <c r="A3246" t="s">
        <v>1340</v>
      </c>
      <c r="B3246" t="s">
        <v>88</v>
      </c>
      <c r="C3246" t="s">
        <v>10246</v>
      </c>
      <c r="D3246" t="s">
        <v>10247</v>
      </c>
      <c r="E3246" t="s">
        <v>131</v>
      </c>
      <c r="F3246" t="s">
        <v>24</v>
      </c>
      <c r="G3246" t="s">
        <v>24</v>
      </c>
      <c r="H3246">
        <f>10089*(1.01^10)</f>
        <v>11144.532623273644</v>
      </c>
      <c r="I3246">
        <f>50002*(1.01^10)</f>
        <v>55233.31551481106</v>
      </c>
      <c r="J3246" t="s">
        <v>10248</v>
      </c>
      <c r="K3246">
        <f t="shared" si="50"/>
        <v>245.69766318657341</v>
      </c>
    </row>
    <row r="3247" spans="1:11" x14ac:dyDescent="0.2">
      <c r="A3247" t="s">
        <v>1340</v>
      </c>
      <c r="B3247" t="s">
        <v>88</v>
      </c>
      <c r="C3247" t="s">
        <v>10249</v>
      </c>
      <c r="D3247" t="s">
        <v>10250</v>
      </c>
      <c r="E3247" t="s">
        <v>40</v>
      </c>
      <c r="F3247" t="s">
        <v>17</v>
      </c>
      <c r="G3247" t="s">
        <v>12</v>
      </c>
      <c r="H3247">
        <f>43769*(1.01^10)</f>
        <v>48348.20580712302</v>
      </c>
      <c r="I3247">
        <f>206012*(1.01^10)</f>
        <v>227565.41330021311</v>
      </c>
      <c r="J3247" t="s">
        <v>10251</v>
      </c>
      <c r="K3247">
        <f t="shared" si="50"/>
        <v>271.3734229910379</v>
      </c>
    </row>
    <row r="3248" spans="1:11" x14ac:dyDescent="0.2">
      <c r="A3248" t="s">
        <v>1340</v>
      </c>
      <c r="B3248" t="s">
        <v>88</v>
      </c>
      <c r="C3248" t="s">
        <v>10252</v>
      </c>
      <c r="D3248" t="s">
        <v>10253</v>
      </c>
      <c r="E3248" t="s">
        <v>324</v>
      </c>
      <c r="F3248" t="s">
        <v>17</v>
      </c>
      <c r="G3248" t="s">
        <v>24</v>
      </c>
      <c r="H3248">
        <f>18833*(1.01^10)</f>
        <v>20803.348487869218</v>
      </c>
      <c r="I3248">
        <f>73953*(1.01^10)</f>
        <v>81690.120040534821</v>
      </c>
      <c r="J3248" t="s">
        <v>10254</v>
      </c>
      <c r="K3248">
        <f t="shared" si="50"/>
        <v>308.25255814523206</v>
      </c>
    </row>
    <row r="3249" spans="1:11" x14ac:dyDescent="0.2">
      <c r="A3249" t="s">
        <v>1340</v>
      </c>
      <c r="B3249" t="s">
        <v>88</v>
      </c>
      <c r="C3249" t="s">
        <v>10255</v>
      </c>
      <c r="D3249" t="s">
        <v>10256</v>
      </c>
      <c r="E3249" t="s">
        <v>264</v>
      </c>
      <c r="F3249" t="s">
        <v>24</v>
      </c>
      <c r="G3249" t="s">
        <v>24</v>
      </c>
      <c r="H3249">
        <f>19162*(1.01^10)</f>
        <v>21166.769167129507</v>
      </c>
      <c r="I3249">
        <f>83006*(1.01^10)</f>
        <v>91690.264141882464</v>
      </c>
      <c r="J3249" t="s">
        <v>10257</v>
      </c>
      <c r="K3249">
        <f t="shared" si="50"/>
        <v>155.8025646953522</v>
      </c>
    </row>
    <row r="3250" spans="1:11" x14ac:dyDescent="0.2">
      <c r="A3250" t="s">
        <v>1340</v>
      </c>
      <c r="B3250" t="s">
        <v>88</v>
      </c>
      <c r="C3250" t="s">
        <v>10258</v>
      </c>
      <c r="D3250" t="s">
        <v>10259</v>
      </c>
      <c r="E3250" t="s">
        <v>1049</v>
      </c>
      <c r="F3250" t="s">
        <v>11</v>
      </c>
      <c r="G3250" t="s">
        <v>24</v>
      </c>
      <c r="H3250">
        <f>34752*(1.01^10)</f>
        <v>38387.828102290187</v>
      </c>
      <c r="I3250">
        <f>155383*(1.01^10)</f>
        <v>171639.49971276923</v>
      </c>
      <c r="J3250" t="s">
        <v>10260</v>
      </c>
      <c r="K3250">
        <f t="shared" si="50"/>
        <v>218.50623864110247</v>
      </c>
    </row>
    <row r="3251" spans="1:11" x14ac:dyDescent="0.2">
      <c r="A3251" t="s">
        <v>1340</v>
      </c>
      <c r="B3251" t="s">
        <v>88</v>
      </c>
      <c r="C3251" t="s">
        <v>10261</v>
      </c>
      <c r="D3251" t="s">
        <v>10262</v>
      </c>
      <c r="E3251" t="s">
        <v>121</v>
      </c>
      <c r="F3251" t="s">
        <v>24</v>
      </c>
      <c r="G3251" t="s">
        <v>12</v>
      </c>
      <c r="H3251">
        <f>23088*(1.01^10)</f>
        <v>25503.515631493894</v>
      </c>
      <c r="I3251">
        <f>99699*(1.01^10)</f>
        <v>110129.72128137171</v>
      </c>
      <c r="J3251" t="s">
        <v>10263</v>
      </c>
      <c r="K3251">
        <f t="shared" si="50"/>
        <v>234.13171022239658</v>
      </c>
    </row>
    <row r="3252" spans="1:11" x14ac:dyDescent="0.2">
      <c r="A3252" t="s">
        <v>1340</v>
      </c>
      <c r="B3252" t="s">
        <v>88</v>
      </c>
      <c r="C3252" t="s">
        <v>10264</v>
      </c>
      <c r="D3252" t="s">
        <v>10265</v>
      </c>
      <c r="E3252" t="s">
        <v>537</v>
      </c>
      <c r="F3252" t="s">
        <v>24</v>
      </c>
      <c r="G3252" t="s">
        <v>24</v>
      </c>
      <c r="H3252">
        <f>23494*(1.01^10)</f>
        <v>25951.992214410846</v>
      </c>
      <c r="I3252">
        <f>105973*(1.01^10)</f>
        <v>117060.12049620161</v>
      </c>
      <c r="J3252" t="s">
        <v>10266</v>
      </c>
      <c r="K3252">
        <f t="shared" si="50"/>
        <v>277.4248831249277</v>
      </c>
    </row>
    <row r="3253" spans="1:11" x14ac:dyDescent="0.2">
      <c r="A3253" t="s">
        <v>1340</v>
      </c>
      <c r="B3253" t="s">
        <v>88</v>
      </c>
      <c r="C3253" t="s">
        <v>10267</v>
      </c>
      <c r="D3253" t="s">
        <v>10268</v>
      </c>
      <c r="E3253" t="s">
        <v>1106</v>
      </c>
      <c r="F3253" t="s">
        <v>24</v>
      </c>
      <c r="G3253" t="s">
        <v>24</v>
      </c>
      <c r="H3253">
        <f>20238*(1.01^10)</f>
        <v>22355.342574071961</v>
      </c>
      <c r="I3253">
        <f>93166*(1.01^10)</f>
        <v>102913.2249360603</v>
      </c>
      <c r="J3253" t="s">
        <v>10269</v>
      </c>
      <c r="K3253">
        <f t="shared" si="50"/>
        <v>249.47164983250755</v>
      </c>
    </row>
    <row r="3254" spans="1:11" x14ac:dyDescent="0.2">
      <c r="A3254" t="s">
        <v>1340</v>
      </c>
      <c r="B3254" t="s">
        <v>88</v>
      </c>
      <c r="C3254" t="s">
        <v>10270</v>
      </c>
      <c r="D3254" t="s">
        <v>10271</v>
      </c>
      <c r="E3254" t="s">
        <v>612</v>
      </c>
      <c r="F3254" t="s">
        <v>24</v>
      </c>
      <c r="G3254" t="s">
        <v>12</v>
      </c>
      <c r="H3254">
        <f>27491*(1.01^10)</f>
        <v>30367.16684967943</v>
      </c>
      <c r="I3254">
        <f>118957*(1.01^10)</f>
        <v>131402.53417254068</v>
      </c>
      <c r="J3254" t="s">
        <v>10272</v>
      </c>
      <c r="K3254">
        <f t="shared" si="50"/>
        <v>452.46444003120178</v>
      </c>
    </row>
    <row r="3255" spans="1:11" x14ac:dyDescent="0.2">
      <c r="A3255" t="s">
        <v>1340</v>
      </c>
      <c r="B3255" t="s">
        <v>88</v>
      </c>
      <c r="C3255" t="s">
        <v>10273</v>
      </c>
      <c r="D3255" t="s">
        <v>10274</v>
      </c>
      <c r="E3255" t="s">
        <v>180</v>
      </c>
      <c r="F3255" t="s">
        <v>24</v>
      </c>
      <c r="G3255" t="s">
        <v>24</v>
      </c>
      <c r="H3255">
        <f>17178*(1.01^10)</f>
        <v>18975.198870313674</v>
      </c>
      <c r="I3255">
        <f>70316*(1.01^10)</f>
        <v>77672.60937041427</v>
      </c>
      <c r="J3255" t="s">
        <v>10275</v>
      </c>
      <c r="K3255">
        <f t="shared" si="50"/>
        <v>316.30408766007884</v>
      </c>
    </row>
    <row r="3256" spans="1:11" x14ac:dyDescent="0.2">
      <c r="A3256" t="s">
        <v>1340</v>
      </c>
      <c r="B3256" t="s">
        <v>88</v>
      </c>
      <c r="C3256" t="s">
        <v>10276</v>
      </c>
      <c r="D3256" t="s">
        <v>10277</v>
      </c>
      <c r="E3256" t="s">
        <v>789</v>
      </c>
      <c r="F3256" t="s">
        <v>44</v>
      </c>
      <c r="G3256" t="s">
        <v>12</v>
      </c>
      <c r="H3256">
        <f>8069*(1.01^10)</f>
        <v>8913.1959299430109</v>
      </c>
      <c r="I3256">
        <f>30942*(1.01^10)</f>
        <v>34179.217804473497</v>
      </c>
      <c r="J3256" t="s">
        <v>10278</v>
      </c>
      <c r="K3256">
        <f t="shared" si="50"/>
        <v>211.22209554665528</v>
      </c>
    </row>
    <row r="3257" spans="1:11" x14ac:dyDescent="0.2">
      <c r="A3257" t="s">
        <v>1340</v>
      </c>
      <c r="B3257" t="s">
        <v>1077</v>
      </c>
      <c r="C3257" t="s">
        <v>10279</v>
      </c>
      <c r="D3257" t="s">
        <v>10280</v>
      </c>
      <c r="E3257" t="s">
        <v>1002</v>
      </c>
      <c r="F3257" t="s">
        <v>152</v>
      </c>
      <c r="G3257" t="s">
        <v>12</v>
      </c>
      <c r="H3257">
        <f>29816*(1.01^10)</f>
        <v>32935.413291260484</v>
      </c>
      <c r="I3257">
        <f>120929*(1.01^10)</f>
        <v>133580.84900385159</v>
      </c>
      <c r="J3257" t="s">
        <v>10281</v>
      </c>
      <c r="K3257">
        <f t="shared" si="50"/>
        <v>247.13112481636352</v>
      </c>
    </row>
    <row r="3258" spans="1:11" x14ac:dyDescent="0.2">
      <c r="A3258" t="s">
        <v>1340</v>
      </c>
      <c r="B3258" t="s">
        <v>1077</v>
      </c>
      <c r="C3258" t="s">
        <v>10282</v>
      </c>
      <c r="D3258" t="s">
        <v>10283</v>
      </c>
      <c r="E3258" t="s">
        <v>1229</v>
      </c>
      <c r="F3258" t="s">
        <v>24</v>
      </c>
      <c r="G3258" t="s">
        <v>12</v>
      </c>
      <c r="H3258">
        <f>23428*(1.01^10)</f>
        <v>25879.087154133704</v>
      </c>
      <c r="I3258">
        <f>98341*(1.01^10)</f>
        <v>108629.64443506328</v>
      </c>
      <c r="J3258" t="s">
        <v>10284</v>
      </c>
      <c r="K3258">
        <f t="shared" si="50"/>
        <v>280.10816033786176</v>
      </c>
    </row>
    <row r="3259" spans="1:11" x14ac:dyDescent="0.2">
      <c r="A3259" t="s">
        <v>1340</v>
      </c>
      <c r="B3259" t="s">
        <v>1077</v>
      </c>
      <c r="C3259" t="s">
        <v>10285</v>
      </c>
      <c r="D3259" t="s">
        <v>10286</v>
      </c>
      <c r="E3259" t="s">
        <v>1195</v>
      </c>
      <c r="F3259" t="s">
        <v>17</v>
      </c>
      <c r="G3259" t="s">
        <v>24</v>
      </c>
      <c r="H3259">
        <f>18133*(1.01^10)</f>
        <v>20030.113000081376</v>
      </c>
      <c r="I3259">
        <f>70420*(1.01^10)</f>
        <v>77787.490071457039</v>
      </c>
      <c r="J3259" t="s">
        <v>10287</v>
      </c>
      <c r="K3259">
        <f t="shared" si="50"/>
        <v>214.87895938293241</v>
      </c>
    </row>
    <row r="3260" spans="1:11" x14ac:dyDescent="0.2">
      <c r="A3260" t="s">
        <v>1340</v>
      </c>
      <c r="B3260" t="s">
        <v>1077</v>
      </c>
      <c r="C3260" t="s">
        <v>10288</v>
      </c>
      <c r="D3260" t="s">
        <v>10289</v>
      </c>
      <c r="E3260" t="s">
        <v>1328</v>
      </c>
      <c r="F3260" t="s">
        <v>458</v>
      </c>
      <c r="G3260" t="s">
        <v>24</v>
      </c>
      <c r="H3260">
        <f>13107*(1.01^10)</f>
        <v>14478.28219776466</v>
      </c>
      <c r="I3260">
        <f>50736*(1.01^10)</f>
        <v>56044.108154862886</v>
      </c>
      <c r="J3260" t="s">
        <v>10290</v>
      </c>
      <c r="K3260">
        <f t="shared" si="50"/>
        <v>92.897591881695419</v>
      </c>
    </row>
    <row r="3261" spans="1:11" x14ac:dyDescent="0.2">
      <c r="A3261" t="s">
        <v>1340</v>
      </c>
      <c r="B3261" t="s">
        <v>1077</v>
      </c>
      <c r="C3261" t="s">
        <v>10291</v>
      </c>
      <c r="D3261" t="s">
        <v>5270</v>
      </c>
      <c r="E3261" t="s">
        <v>1362</v>
      </c>
      <c r="F3261" t="s">
        <v>17</v>
      </c>
      <c r="G3261" t="s">
        <v>24</v>
      </c>
      <c r="H3261">
        <f>9405*(1.01^10)</f>
        <v>10388.971089492381</v>
      </c>
      <c r="I3261">
        <f>40232*(1.01^10)</f>
        <v>44441.157349543588</v>
      </c>
      <c r="J3261" t="s">
        <v>10292</v>
      </c>
      <c r="K3261">
        <f t="shared" si="50"/>
        <v>139.90586631608866</v>
      </c>
    </row>
    <row r="3262" spans="1:11" x14ac:dyDescent="0.2">
      <c r="A3262" t="s">
        <v>1340</v>
      </c>
      <c r="B3262" t="s">
        <v>1077</v>
      </c>
      <c r="C3262" t="s">
        <v>10293</v>
      </c>
      <c r="D3262" t="s">
        <v>10294</v>
      </c>
      <c r="E3262" t="s">
        <v>404</v>
      </c>
      <c r="F3262" t="s">
        <v>5</v>
      </c>
      <c r="G3262" t="s">
        <v>24</v>
      </c>
      <c r="H3262">
        <f>9317*(1.01^10)</f>
        <v>10291.764342456194</v>
      </c>
      <c r="I3262">
        <f>43575*(1.01^10)</f>
        <v>48133.909114793249</v>
      </c>
      <c r="J3262" t="s">
        <v>10295</v>
      </c>
      <c r="K3262">
        <f t="shared" si="50"/>
        <v>84.625233622087862</v>
      </c>
    </row>
    <row r="3263" spans="1:11" x14ac:dyDescent="0.2">
      <c r="A3263" t="s">
        <v>1340</v>
      </c>
      <c r="B3263" t="s">
        <v>1077</v>
      </c>
      <c r="C3263" t="s">
        <v>10296</v>
      </c>
      <c r="D3263" t="s">
        <v>10297</v>
      </c>
      <c r="E3263" t="s">
        <v>1446</v>
      </c>
      <c r="F3263" t="s">
        <v>92</v>
      </c>
      <c r="G3263" t="s">
        <v>24</v>
      </c>
      <c r="H3263">
        <f>12600*(1.01^10)</f>
        <v>13918.23878018118</v>
      </c>
      <c r="I3263">
        <f>58974*(1.01^10)</f>
        <v>65143.985224000389</v>
      </c>
      <c r="J3263" t="s">
        <v>10298</v>
      </c>
      <c r="K3263">
        <f t="shared" si="50"/>
        <v>153.34762599848005</v>
      </c>
    </row>
    <row r="3264" spans="1:11" x14ac:dyDescent="0.2">
      <c r="A3264" t="s">
        <v>1340</v>
      </c>
      <c r="B3264" t="s">
        <v>1077</v>
      </c>
      <c r="C3264" t="s">
        <v>10299</v>
      </c>
      <c r="D3264" t="s">
        <v>10300</v>
      </c>
      <c r="E3264" t="s">
        <v>220</v>
      </c>
      <c r="F3264" t="s">
        <v>12</v>
      </c>
      <c r="G3264" t="s">
        <v>24</v>
      </c>
      <c r="H3264">
        <f>6456*(1.01^10)</f>
        <v>7131.4404416547377</v>
      </c>
      <c r="I3264">
        <f>25329*(1.01^10)</f>
        <v>27978.973814540404</v>
      </c>
      <c r="J3264" t="s">
        <v>10301</v>
      </c>
      <c r="K3264">
        <f t="shared" si="50"/>
        <v>142.81045612785215</v>
      </c>
    </row>
    <row r="3265" spans="1:11" x14ac:dyDescent="0.2">
      <c r="A3265" t="s">
        <v>1340</v>
      </c>
      <c r="B3265" t="s">
        <v>1077</v>
      </c>
      <c r="C3265" t="s">
        <v>10302</v>
      </c>
      <c r="D3265" t="s">
        <v>10303</v>
      </c>
      <c r="E3265" t="s">
        <v>404</v>
      </c>
      <c r="F3265" t="s">
        <v>12</v>
      </c>
      <c r="G3265" t="s">
        <v>24</v>
      </c>
      <c r="H3265">
        <f>18019*(1.01^10)</f>
        <v>19904.1860777845</v>
      </c>
      <c r="I3265">
        <f>68193*(1.01^10)</f>
        <v>75327.496598166283</v>
      </c>
      <c r="J3265" t="s">
        <v>10304</v>
      </c>
      <c r="K3265">
        <f t="shared" si="50"/>
        <v>100.89512406675208</v>
      </c>
    </row>
    <row r="3266" spans="1:11" x14ac:dyDescent="0.2">
      <c r="A3266" t="s">
        <v>1340</v>
      </c>
      <c r="B3266" t="s">
        <v>1077</v>
      </c>
      <c r="C3266" t="s">
        <v>10305</v>
      </c>
      <c r="D3266" t="s">
        <v>10306</v>
      </c>
      <c r="E3266" t="s">
        <v>152</v>
      </c>
      <c r="F3266" t="s">
        <v>24</v>
      </c>
      <c r="G3266" t="s">
        <v>12</v>
      </c>
      <c r="H3266">
        <f>13244*(1.01^10)</f>
        <v>14629.615428945996</v>
      </c>
      <c r="I3266">
        <f>54832*(1.01^10)</f>
        <v>60568.640380547178</v>
      </c>
      <c r="J3266" t="s">
        <v>10307</v>
      </c>
      <c r="K3266">
        <f t="shared" si="50"/>
        <v>577.02502657227922</v>
      </c>
    </row>
    <row r="3267" spans="1:11" x14ac:dyDescent="0.2">
      <c r="A3267" t="s">
        <v>1340</v>
      </c>
      <c r="B3267" t="s">
        <v>1077</v>
      </c>
      <c r="C3267" t="s">
        <v>10308</v>
      </c>
      <c r="D3267" t="s">
        <v>10309</v>
      </c>
      <c r="E3267" t="s">
        <v>32</v>
      </c>
      <c r="F3267" t="s">
        <v>158</v>
      </c>
      <c r="G3267" t="s">
        <v>12</v>
      </c>
      <c r="H3267">
        <f>42687*(1.01^10)</f>
        <v>47153.004667428097</v>
      </c>
      <c r="I3267">
        <f>181906*(1.01^10)</f>
        <v>200937.39234505061</v>
      </c>
      <c r="J3267" t="s">
        <v>10310</v>
      </c>
      <c r="K3267">
        <f t="shared" ref="K3267:K3330" si="51">I3267/J3267</f>
        <v>587.4403656333327</v>
      </c>
    </row>
    <row r="3268" spans="1:11" x14ac:dyDescent="0.2">
      <c r="A3268" t="s">
        <v>1340</v>
      </c>
      <c r="B3268" t="s">
        <v>1077</v>
      </c>
      <c r="C3268" t="s">
        <v>10311</v>
      </c>
      <c r="D3268" t="s">
        <v>10312</v>
      </c>
      <c r="E3268" t="s">
        <v>998</v>
      </c>
      <c r="F3268" t="s">
        <v>24</v>
      </c>
      <c r="G3268" t="s">
        <v>24</v>
      </c>
      <c r="H3268">
        <f>13835*(1.01^10)</f>
        <v>15282.447105064017</v>
      </c>
      <c r="I3268">
        <f>57038*(1.01^10)</f>
        <v>63005.436789204294</v>
      </c>
      <c r="J3268" t="s">
        <v>10313</v>
      </c>
      <c r="K3268">
        <f t="shared" si="51"/>
        <v>214.26048722143204</v>
      </c>
    </row>
    <row r="3269" spans="1:11" x14ac:dyDescent="0.2">
      <c r="A3269" t="s">
        <v>1340</v>
      </c>
      <c r="B3269" t="s">
        <v>1077</v>
      </c>
      <c r="C3269" t="s">
        <v>10314</v>
      </c>
      <c r="D3269" t="s">
        <v>10315</v>
      </c>
      <c r="E3269" t="s">
        <v>960</v>
      </c>
      <c r="F3269" t="s">
        <v>313</v>
      </c>
      <c r="G3269" t="s">
        <v>24</v>
      </c>
      <c r="H3269">
        <f>30531*(1.01^10)</f>
        <v>33725.218110929491</v>
      </c>
      <c r="I3269">
        <f>125337*(1.01^10)</f>
        <v>138450.02333266416</v>
      </c>
      <c r="J3269" t="s">
        <v>10316</v>
      </c>
      <c r="K3269">
        <f t="shared" si="51"/>
        <v>108.13738174500705</v>
      </c>
    </row>
    <row r="3270" spans="1:11" x14ac:dyDescent="0.2">
      <c r="A3270" t="s">
        <v>1340</v>
      </c>
      <c r="B3270" t="s">
        <v>1077</v>
      </c>
      <c r="C3270" t="s">
        <v>10317</v>
      </c>
      <c r="D3270" t="s">
        <v>10318</v>
      </c>
      <c r="E3270" t="s">
        <v>1960</v>
      </c>
      <c r="F3270" t="s">
        <v>744</v>
      </c>
      <c r="G3270" t="s">
        <v>24</v>
      </c>
      <c r="H3270">
        <f>10815*(1.01^10)</f>
        <v>11946.488286322179</v>
      </c>
      <c r="I3270">
        <f>41132*(1.01^10)</f>
        <v>45435.317262413671</v>
      </c>
      <c r="J3270" t="s">
        <v>10319</v>
      </c>
      <c r="K3270">
        <f t="shared" si="51"/>
        <v>114.05019645166341</v>
      </c>
    </row>
    <row r="3271" spans="1:11" x14ac:dyDescent="0.2">
      <c r="A3271" t="s">
        <v>1340</v>
      </c>
      <c r="B3271" t="s">
        <v>1077</v>
      </c>
      <c r="C3271" t="s">
        <v>10320</v>
      </c>
      <c r="D3271" t="s">
        <v>10321</v>
      </c>
      <c r="E3271" t="s">
        <v>28</v>
      </c>
      <c r="F3271" t="s">
        <v>152</v>
      </c>
      <c r="G3271" t="s">
        <v>24</v>
      </c>
      <c r="H3271">
        <f>14015*(1.01^10)</f>
        <v>15481.279087638035</v>
      </c>
      <c r="I3271">
        <f>54561*(1.01^10)</f>
        <v>60269.287784560744</v>
      </c>
      <c r="J3271" t="s">
        <v>10322</v>
      </c>
      <c r="K3271">
        <f t="shared" si="51"/>
        <v>127.08534241408977</v>
      </c>
    </row>
    <row r="3272" spans="1:11" x14ac:dyDescent="0.2">
      <c r="A3272" t="s">
        <v>1340</v>
      </c>
      <c r="B3272" t="s">
        <v>1077</v>
      </c>
      <c r="C3272" t="s">
        <v>10323</v>
      </c>
      <c r="D3272" t="s">
        <v>10324</v>
      </c>
      <c r="E3272" t="s">
        <v>624</v>
      </c>
      <c r="F3272" t="s">
        <v>382</v>
      </c>
      <c r="G3272" t="s">
        <v>24</v>
      </c>
      <c r="H3272">
        <f>19204*(1.01^10)</f>
        <v>21213.163296396775</v>
      </c>
      <c r="I3272">
        <f>72579*(1.01^10)</f>
        <v>80172.369240219836</v>
      </c>
      <c r="J3272" t="s">
        <v>10325</v>
      </c>
      <c r="K3272">
        <f t="shared" si="51"/>
        <v>121.49353565021418</v>
      </c>
    </row>
    <row r="3273" spans="1:11" x14ac:dyDescent="0.2">
      <c r="A3273" t="s">
        <v>1340</v>
      </c>
      <c r="B3273" t="s">
        <v>1077</v>
      </c>
      <c r="C3273" t="s">
        <v>10326</v>
      </c>
      <c r="D3273" t="s">
        <v>10327</v>
      </c>
      <c r="E3273" t="s">
        <v>796</v>
      </c>
      <c r="F3273" t="s">
        <v>24</v>
      </c>
      <c r="G3273" t="s">
        <v>24</v>
      </c>
      <c r="H3273">
        <f>5816*(1.01^10)</f>
        <v>6424.4822813915671</v>
      </c>
      <c r="I3273">
        <f>22247*(1.01^10)</f>
        <v>24574.528424023072</v>
      </c>
      <c r="J3273" t="s">
        <v>10328</v>
      </c>
      <c r="K3273">
        <f t="shared" si="51"/>
        <v>157.50159213641396</v>
      </c>
    </row>
    <row r="3274" spans="1:11" x14ac:dyDescent="0.2">
      <c r="A3274" t="s">
        <v>1340</v>
      </c>
      <c r="B3274" t="s">
        <v>1077</v>
      </c>
      <c r="C3274" t="s">
        <v>10329</v>
      </c>
      <c r="D3274" t="s">
        <v>10330</v>
      </c>
      <c r="E3274" t="s">
        <v>382</v>
      </c>
      <c r="F3274" t="s">
        <v>24</v>
      </c>
      <c r="G3274" t="s">
        <v>12</v>
      </c>
      <c r="H3274">
        <f>16350*(1.01^10)</f>
        <v>18060.571750473198</v>
      </c>
      <c r="I3274">
        <f>65664*(1.01^10)</f>
        <v>72533.907243001348</v>
      </c>
      <c r="J3274" t="s">
        <v>10331</v>
      </c>
      <c r="K3274">
        <f t="shared" si="51"/>
        <v>880.51858523215412</v>
      </c>
    </row>
    <row r="3275" spans="1:11" x14ac:dyDescent="0.2">
      <c r="A3275" t="s">
        <v>1340</v>
      </c>
      <c r="B3275" t="s">
        <v>1077</v>
      </c>
      <c r="C3275" t="s">
        <v>10332</v>
      </c>
      <c r="D3275" t="s">
        <v>10333</v>
      </c>
      <c r="E3275" t="s">
        <v>382</v>
      </c>
      <c r="F3275" t="s">
        <v>24</v>
      </c>
      <c r="G3275" t="s">
        <v>17</v>
      </c>
      <c r="H3275">
        <f>7952*(1.01^10)</f>
        <v>8783.9551412699002</v>
      </c>
      <c r="I3275">
        <f>29431*(1.01^10)</f>
        <v>32510.133772977166</v>
      </c>
      <c r="J3275" t="s">
        <v>10334</v>
      </c>
      <c r="K3275">
        <f t="shared" si="51"/>
        <v>545.36455012090096</v>
      </c>
    </row>
    <row r="3276" spans="1:11" x14ac:dyDescent="0.2">
      <c r="A3276" t="s">
        <v>1340</v>
      </c>
      <c r="B3276" t="s">
        <v>1077</v>
      </c>
      <c r="C3276" t="s">
        <v>10335</v>
      </c>
      <c r="D3276" t="s">
        <v>10336</v>
      </c>
      <c r="E3276" t="s">
        <v>40</v>
      </c>
      <c r="F3276" t="s">
        <v>17</v>
      </c>
      <c r="G3276" t="s">
        <v>24</v>
      </c>
      <c r="H3276">
        <f>20547*(1.01^10)</f>
        <v>22696.670810824024</v>
      </c>
      <c r="I3276">
        <f>88128*(1.01^10)</f>
        <v>97348.138668238651</v>
      </c>
      <c r="J3276" t="s">
        <v>10337</v>
      </c>
      <c r="K3276">
        <f t="shared" si="51"/>
        <v>131.62177838014478</v>
      </c>
    </row>
    <row r="3277" spans="1:11" x14ac:dyDescent="0.2">
      <c r="A3277" t="s">
        <v>1340</v>
      </c>
      <c r="B3277" t="s">
        <v>1077</v>
      </c>
      <c r="C3277" t="s">
        <v>10338</v>
      </c>
      <c r="D3277" t="s">
        <v>10339</v>
      </c>
      <c r="E3277" t="s">
        <v>97</v>
      </c>
      <c r="F3277" t="s">
        <v>12</v>
      </c>
      <c r="G3277" t="s">
        <v>24</v>
      </c>
      <c r="H3277">
        <f>2400*(1.01^10)</f>
        <v>2651.0931009868914</v>
      </c>
      <c r="I3277">
        <f>10063*(1.01^10)</f>
        <v>11115.812448012954</v>
      </c>
      <c r="J3277" t="s">
        <v>10340</v>
      </c>
      <c r="K3277">
        <f t="shared" si="51"/>
        <v>163.31023834172899</v>
      </c>
    </row>
    <row r="3278" spans="1:11" x14ac:dyDescent="0.2">
      <c r="A3278" t="s">
        <v>1340</v>
      </c>
      <c r="B3278" t="s">
        <v>2532</v>
      </c>
      <c r="C3278" t="s">
        <v>10341</v>
      </c>
      <c r="D3278" t="s">
        <v>10342</v>
      </c>
      <c r="E3278" t="s">
        <v>350</v>
      </c>
      <c r="F3278" t="s">
        <v>405</v>
      </c>
      <c r="G3278" t="s">
        <v>12</v>
      </c>
      <c r="H3278">
        <f>38997*(1.01^10)</f>
        <v>43076.949024660753</v>
      </c>
      <c r="I3278">
        <f>177657*(1.01^10)</f>
        <v>196243.8529341784</v>
      </c>
      <c r="J3278" t="s">
        <v>10343</v>
      </c>
      <c r="K3278">
        <f t="shared" si="51"/>
        <v>164.72032898720144</v>
      </c>
    </row>
    <row r="3279" spans="1:11" x14ac:dyDescent="0.2">
      <c r="A3279" t="s">
        <v>1340</v>
      </c>
      <c r="B3279" t="s">
        <v>2532</v>
      </c>
      <c r="C3279" t="s">
        <v>10344</v>
      </c>
      <c r="D3279" t="s">
        <v>10345</v>
      </c>
      <c r="E3279" t="s">
        <v>2777</v>
      </c>
      <c r="F3279" t="s">
        <v>158</v>
      </c>
      <c r="G3279" t="s">
        <v>24</v>
      </c>
      <c r="H3279">
        <f>18989*(1.01^10)</f>
        <v>20975.669539433366</v>
      </c>
      <c r="I3279">
        <f>84201*(1.01^10)</f>
        <v>93010.287581748853</v>
      </c>
      <c r="J3279" t="s">
        <v>10346</v>
      </c>
      <c r="K3279">
        <f t="shared" si="51"/>
        <v>150.4814727924624</v>
      </c>
    </row>
    <row r="3280" spans="1:11" x14ac:dyDescent="0.2">
      <c r="A3280" t="s">
        <v>1340</v>
      </c>
      <c r="B3280" t="s">
        <v>2532</v>
      </c>
      <c r="C3280" t="s">
        <v>10347</v>
      </c>
      <c r="D3280" t="s">
        <v>10348</v>
      </c>
      <c r="E3280" t="s">
        <v>1387</v>
      </c>
      <c r="F3280" t="s">
        <v>744</v>
      </c>
      <c r="G3280" t="s">
        <v>24</v>
      </c>
      <c r="H3280">
        <f>6985*(1.01^10)</f>
        <v>7715.7855459972652</v>
      </c>
      <c r="I3280">
        <f>29614*(1.01^10)</f>
        <v>32712.279621927417</v>
      </c>
      <c r="J3280" t="s">
        <v>10349</v>
      </c>
      <c r="K3280">
        <f t="shared" si="51"/>
        <v>77.882731792019925</v>
      </c>
    </row>
    <row r="3281" spans="1:11" x14ac:dyDescent="0.2">
      <c r="A3281" t="s">
        <v>1340</v>
      </c>
      <c r="B3281" t="s">
        <v>2532</v>
      </c>
      <c r="C3281" t="s">
        <v>10350</v>
      </c>
      <c r="D3281" t="s">
        <v>10351</v>
      </c>
      <c r="E3281" t="s">
        <v>337</v>
      </c>
      <c r="F3281" t="s">
        <v>92</v>
      </c>
      <c r="G3281" t="s">
        <v>12</v>
      </c>
      <c r="H3281">
        <f>8110*(1.01^10)</f>
        <v>8958.4854370848698</v>
      </c>
      <c r="I3281">
        <f>33579*(1.01^10)</f>
        <v>37092.106349182846</v>
      </c>
      <c r="J3281" t="s">
        <v>10352</v>
      </c>
      <c r="K3281">
        <f t="shared" si="51"/>
        <v>65.050875990060462</v>
      </c>
    </row>
    <row r="3282" spans="1:11" x14ac:dyDescent="0.2">
      <c r="A3282" t="s">
        <v>1340</v>
      </c>
      <c r="B3282" t="s">
        <v>2532</v>
      </c>
      <c r="C3282" t="s">
        <v>10353</v>
      </c>
      <c r="D3282" t="s">
        <v>10354</v>
      </c>
      <c r="E3282" t="s">
        <v>253</v>
      </c>
      <c r="F3282" t="s">
        <v>158</v>
      </c>
      <c r="G3282" t="s">
        <v>24</v>
      </c>
      <c r="H3282">
        <f>3351*(1.01^10)</f>
        <v>3701.5887422529472</v>
      </c>
      <c r="I3282">
        <f>15232*(1.01^10)</f>
        <v>16825.604214263472</v>
      </c>
      <c r="J3282" t="s">
        <v>10355</v>
      </c>
      <c r="K3282">
        <f t="shared" si="51"/>
        <v>76.090849327107023</v>
      </c>
    </row>
    <row r="3283" spans="1:11" x14ac:dyDescent="0.2">
      <c r="A3283" t="s">
        <v>1340</v>
      </c>
      <c r="B3283" t="s">
        <v>2532</v>
      </c>
      <c r="C3283" t="s">
        <v>10356</v>
      </c>
      <c r="D3283" t="s">
        <v>10357</v>
      </c>
      <c r="E3283" t="s">
        <v>498</v>
      </c>
      <c r="F3283" t="s">
        <v>24</v>
      </c>
      <c r="G3283" t="s">
        <v>24</v>
      </c>
      <c r="H3283">
        <f>3202*(1.01^10)</f>
        <v>3537.0000455666777</v>
      </c>
      <c r="I3283">
        <f>14669*(1.01^10)</f>
        <v>16203.701957656962</v>
      </c>
      <c r="J3283" t="s">
        <v>10358</v>
      </c>
      <c r="K3283">
        <f t="shared" si="51"/>
        <v>47.877918822836044</v>
      </c>
    </row>
    <row r="3284" spans="1:11" x14ac:dyDescent="0.2">
      <c r="A3284" t="s">
        <v>1340</v>
      </c>
      <c r="B3284" t="s">
        <v>2532</v>
      </c>
      <c r="C3284" t="s">
        <v>10359</v>
      </c>
      <c r="D3284" t="s">
        <v>10360</v>
      </c>
      <c r="E3284" t="s">
        <v>148</v>
      </c>
      <c r="F3284" t="s">
        <v>108</v>
      </c>
      <c r="G3284" t="s">
        <v>12</v>
      </c>
      <c r="H3284">
        <f>16700*(1.01^10)</f>
        <v>18447.189494367118</v>
      </c>
      <c r="I3284">
        <f>74584*(1.01^10)</f>
        <v>82387.136601669292</v>
      </c>
      <c r="J3284" t="s">
        <v>10361</v>
      </c>
      <c r="K3284">
        <f t="shared" si="51"/>
        <v>186.87342050330022</v>
      </c>
    </row>
    <row r="3285" spans="1:11" x14ac:dyDescent="0.2">
      <c r="A3285" t="s">
        <v>1340</v>
      </c>
      <c r="B3285" t="s">
        <v>2532</v>
      </c>
      <c r="C3285" t="s">
        <v>10362</v>
      </c>
      <c r="D3285" t="s">
        <v>10363</v>
      </c>
      <c r="E3285" t="s">
        <v>1002</v>
      </c>
      <c r="F3285" t="s">
        <v>6</v>
      </c>
      <c r="G3285" t="s">
        <v>24</v>
      </c>
      <c r="H3285">
        <f>17185*(1.01^10)</f>
        <v>18982.931225191554</v>
      </c>
      <c r="I3285">
        <f>76811*(1.01^10)</f>
        <v>84847.130074960049</v>
      </c>
      <c r="J3285" t="s">
        <v>10364</v>
      </c>
      <c r="K3285">
        <f t="shared" si="51"/>
        <v>102.86124176686776</v>
      </c>
    </row>
    <row r="3286" spans="1:11" x14ac:dyDescent="0.2">
      <c r="A3286" t="s">
        <v>1340</v>
      </c>
      <c r="B3286" t="s">
        <v>2532</v>
      </c>
      <c r="C3286" t="s">
        <v>10365</v>
      </c>
      <c r="D3286" t="s">
        <v>10366</v>
      </c>
      <c r="E3286" t="s">
        <v>1506</v>
      </c>
      <c r="F3286" t="s">
        <v>12</v>
      </c>
      <c r="G3286" t="s">
        <v>24</v>
      </c>
      <c r="H3286">
        <f>6421*(1.01^10)</f>
        <v>7092.7786672653456</v>
      </c>
      <c r="I3286">
        <f>28264*(1.01^10)</f>
        <v>31221.039752622291</v>
      </c>
      <c r="J3286" t="s">
        <v>10367</v>
      </c>
      <c r="K3286">
        <f t="shared" si="51"/>
        <v>89.617366634644739</v>
      </c>
    </row>
    <row r="3287" spans="1:11" x14ac:dyDescent="0.2">
      <c r="A3287" t="s">
        <v>1340</v>
      </c>
      <c r="B3287" t="s">
        <v>2532</v>
      </c>
      <c r="C3287" t="s">
        <v>10368</v>
      </c>
      <c r="D3287" t="s">
        <v>10369</v>
      </c>
      <c r="E3287" t="s">
        <v>103</v>
      </c>
      <c r="F3287" t="s">
        <v>24</v>
      </c>
      <c r="G3287" t="s">
        <v>24</v>
      </c>
      <c r="H3287">
        <f>9750*(1.01^10)</f>
        <v>10770.065722759246</v>
      </c>
      <c r="I3287">
        <f>43705*(1.01^10)</f>
        <v>48277.509991096704</v>
      </c>
      <c r="J3287" t="s">
        <v>10370</v>
      </c>
      <c r="K3287">
        <f t="shared" si="51"/>
        <v>139.57351208614887</v>
      </c>
    </row>
    <row r="3288" spans="1:11" x14ac:dyDescent="0.2">
      <c r="A3288" t="s">
        <v>1340</v>
      </c>
      <c r="B3288" t="s">
        <v>2532</v>
      </c>
      <c r="C3288" t="s">
        <v>10371</v>
      </c>
      <c r="D3288" t="s">
        <v>10372</v>
      </c>
      <c r="E3288" t="s">
        <v>126</v>
      </c>
      <c r="F3288" t="s">
        <v>92</v>
      </c>
      <c r="G3288" t="s">
        <v>24</v>
      </c>
      <c r="H3288">
        <f>7909*(1.01^10)</f>
        <v>8736.4563898772176</v>
      </c>
      <c r="I3288">
        <f>34876*(1.01^10)</f>
        <v>38524.801245841176</v>
      </c>
      <c r="J3288" t="s">
        <v>10373</v>
      </c>
      <c r="K3288">
        <f t="shared" si="51"/>
        <v>81.665449964563365</v>
      </c>
    </row>
    <row r="3289" spans="1:11" x14ac:dyDescent="0.2">
      <c r="A3289" t="s">
        <v>796</v>
      </c>
      <c r="B3289" t="s">
        <v>746</v>
      </c>
      <c r="C3289" t="s">
        <v>10374</v>
      </c>
      <c r="D3289" t="s">
        <v>2070</v>
      </c>
      <c r="E3289" t="s">
        <v>676</v>
      </c>
      <c r="F3289" t="s">
        <v>152</v>
      </c>
      <c r="G3289" t="s">
        <v>24</v>
      </c>
      <c r="H3289">
        <f>23227*(1.01^10)</f>
        <v>25657.058106926052</v>
      </c>
      <c r="I3289">
        <f>88750*(1.01^10)</f>
        <v>98035.213630244427</v>
      </c>
      <c r="J3289" t="s">
        <v>10375</v>
      </c>
      <c r="K3289">
        <f t="shared" si="51"/>
        <v>41.75589447497444</v>
      </c>
    </row>
    <row r="3290" spans="1:11" x14ac:dyDescent="0.2">
      <c r="A3290" t="s">
        <v>796</v>
      </c>
      <c r="B3290" t="s">
        <v>746</v>
      </c>
      <c r="C3290" t="s">
        <v>10376</v>
      </c>
      <c r="D3290" t="s">
        <v>4356</v>
      </c>
      <c r="E3290" t="s">
        <v>1010</v>
      </c>
      <c r="F3290" t="s">
        <v>24</v>
      </c>
      <c r="G3290" t="s">
        <v>11</v>
      </c>
      <c r="H3290">
        <f>47187*(1.01^10)</f>
        <v>52123.804231778515</v>
      </c>
      <c r="I3290">
        <f>198953*(1.01^10)</f>
        <v>219767.88571693542</v>
      </c>
      <c r="J3290" t="s">
        <v>10377</v>
      </c>
      <c r="K3290">
        <f t="shared" si="51"/>
        <v>318.06536005729498</v>
      </c>
    </row>
    <row r="3291" spans="1:11" x14ac:dyDescent="0.2">
      <c r="A3291" t="s">
        <v>796</v>
      </c>
      <c r="B3291" t="s">
        <v>746</v>
      </c>
      <c r="C3291" t="s">
        <v>10378</v>
      </c>
      <c r="D3291" t="s">
        <v>10379</v>
      </c>
      <c r="E3291" t="s">
        <v>40</v>
      </c>
      <c r="F3291" t="s">
        <v>12</v>
      </c>
      <c r="G3291" t="s">
        <v>24</v>
      </c>
      <c r="H3291">
        <f>11223*(1.01^10)</f>
        <v>12397.174113489951</v>
      </c>
      <c r="I3291">
        <f>48474*(1.01^10)</f>
        <v>53545.452907182742</v>
      </c>
      <c r="J3291" t="s">
        <v>10380</v>
      </c>
      <c r="K3291">
        <f t="shared" si="51"/>
        <v>37.197041681780725</v>
      </c>
    </row>
    <row r="3292" spans="1:11" x14ac:dyDescent="0.2">
      <c r="A3292" t="s">
        <v>796</v>
      </c>
      <c r="B3292" t="s">
        <v>746</v>
      </c>
      <c r="C3292" t="s">
        <v>10381</v>
      </c>
      <c r="D3292" t="s">
        <v>10382</v>
      </c>
      <c r="E3292" t="s">
        <v>766</v>
      </c>
      <c r="F3292" t="s">
        <v>5</v>
      </c>
      <c r="G3292" t="s">
        <v>5</v>
      </c>
      <c r="H3292">
        <f>33282*(1.01^10)</f>
        <v>36764.033577935719</v>
      </c>
      <c r="I3292">
        <f>148993*(1.01^10)</f>
        <v>164580.96433139162</v>
      </c>
      <c r="J3292" t="s">
        <v>10383</v>
      </c>
      <c r="K3292">
        <f t="shared" si="51"/>
        <v>149.79144799289904</v>
      </c>
    </row>
    <row r="3293" spans="1:11" x14ac:dyDescent="0.2">
      <c r="A3293" t="s">
        <v>796</v>
      </c>
      <c r="B3293" t="s">
        <v>746</v>
      </c>
      <c r="C3293" t="s">
        <v>10384</v>
      </c>
      <c r="D3293" t="s">
        <v>10385</v>
      </c>
      <c r="E3293" t="s">
        <v>287</v>
      </c>
      <c r="F3293" t="s">
        <v>24</v>
      </c>
      <c r="G3293" t="s">
        <v>12</v>
      </c>
      <c r="H3293">
        <f>38355*(1.01^10)</f>
        <v>42367.781620146758</v>
      </c>
      <c r="I3293">
        <f>173747*(1.01^10)</f>
        <v>191924.7804238206</v>
      </c>
      <c r="J3293" t="s">
        <v>10386</v>
      </c>
      <c r="K3293">
        <f t="shared" si="51"/>
        <v>186.88118254498272</v>
      </c>
    </row>
    <row r="3294" spans="1:11" x14ac:dyDescent="0.2">
      <c r="A3294" t="s">
        <v>796</v>
      </c>
      <c r="B3294" t="s">
        <v>1151</v>
      </c>
      <c r="C3294" t="s">
        <v>10387</v>
      </c>
      <c r="D3294" t="s">
        <v>10388</v>
      </c>
      <c r="E3294" t="s">
        <v>503</v>
      </c>
      <c r="F3294" t="s">
        <v>24</v>
      </c>
      <c r="G3294" t="s">
        <v>12</v>
      </c>
      <c r="H3294">
        <f>34064*(1.01^10)</f>
        <v>37627.848080007279</v>
      </c>
      <c r="I3294">
        <f>168066*(1.01^10)</f>
        <v>185649.42212935953</v>
      </c>
      <c r="J3294" t="s">
        <v>10389</v>
      </c>
      <c r="K3294">
        <f t="shared" si="51"/>
        <v>163.69270423283331</v>
      </c>
    </row>
    <row r="3295" spans="1:11" x14ac:dyDescent="0.2">
      <c r="A3295" t="s">
        <v>796</v>
      </c>
      <c r="B3295" t="s">
        <v>1151</v>
      </c>
      <c r="C3295" t="s">
        <v>10390</v>
      </c>
      <c r="D3295" t="s">
        <v>3416</v>
      </c>
      <c r="E3295" t="s">
        <v>479</v>
      </c>
      <c r="F3295" t="s">
        <v>17</v>
      </c>
      <c r="G3295" t="s">
        <v>12</v>
      </c>
      <c r="H3295">
        <f>25738*(1.01^10)</f>
        <v>28430.764263833589</v>
      </c>
      <c r="I3295">
        <f>110409*(1.01^10)</f>
        <v>121960.2242445257</v>
      </c>
      <c r="J3295" t="s">
        <v>10391</v>
      </c>
      <c r="K3295">
        <f t="shared" si="51"/>
        <v>98.347539314136796</v>
      </c>
    </row>
    <row r="3296" spans="1:11" x14ac:dyDescent="0.2">
      <c r="A3296" t="s">
        <v>796</v>
      </c>
      <c r="B3296" t="s">
        <v>1151</v>
      </c>
      <c r="C3296" t="s">
        <v>10392</v>
      </c>
      <c r="D3296" t="s">
        <v>10393</v>
      </c>
      <c r="E3296" t="s">
        <v>399</v>
      </c>
      <c r="F3296" t="s">
        <v>12</v>
      </c>
      <c r="G3296" t="s">
        <v>12</v>
      </c>
      <c r="H3296">
        <f>36357*(1.01^10)</f>
        <v>40160.746613575167</v>
      </c>
      <c r="I3296">
        <f>160974*(1.01^10)</f>
        <v>177815.44201594326</v>
      </c>
      <c r="J3296" t="s">
        <v>10394</v>
      </c>
      <c r="K3296">
        <f t="shared" si="51"/>
        <v>135.9721080010768</v>
      </c>
    </row>
    <row r="3297" spans="1:11" x14ac:dyDescent="0.2">
      <c r="A3297" t="s">
        <v>796</v>
      </c>
      <c r="B3297" t="s">
        <v>1151</v>
      </c>
      <c r="C3297" t="s">
        <v>10395</v>
      </c>
      <c r="D3297" t="s">
        <v>8248</v>
      </c>
      <c r="E3297" t="s">
        <v>1215</v>
      </c>
      <c r="F3297" t="s">
        <v>24</v>
      </c>
      <c r="G3297" t="s">
        <v>17</v>
      </c>
      <c r="H3297">
        <f>33700*(1.01^10)</f>
        <v>37225.765626357599</v>
      </c>
      <c r="I3297">
        <f>150783*(1.01^10)</f>
        <v>166558.2379358777</v>
      </c>
      <c r="J3297" t="s">
        <v>10396</v>
      </c>
      <c r="K3297">
        <f t="shared" si="51"/>
        <v>122.60181119076285</v>
      </c>
    </row>
    <row r="3298" spans="1:11" x14ac:dyDescent="0.2">
      <c r="A3298" t="s">
        <v>796</v>
      </c>
      <c r="B3298" t="s">
        <v>1151</v>
      </c>
      <c r="C3298" t="s">
        <v>10397</v>
      </c>
      <c r="D3298" t="s">
        <v>10398</v>
      </c>
      <c r="E3298" t="s">
        <v>1002</v>
      </c>
      <c r="F3298" t="s">
        <v>24</v>
      </c>
      <c r="G3298" t="s">
        <v>12</v>
      </c>
      <c r="H3298">
        <f>23892*(1.01^10)</f>
        <v>26391.631820324503</v>
      </c>
      <c r="I3298">
        <f>109932*(1.01^10)</f>
        <v>121433.31949070455</v>
      </c>
      <c r="J3298" t="s">
        <v>10399</v>
      </c>
      <c r="K3298">
        <f t="shared" si="51"/>
        <v>93.212257007502345</v>
      </c>
    </row>
    <row r="3299" spans="1:11" x14ac:dyDescent="0.2">
      <c r="A3299" t="s">
        <v>796</v>
      </c>
      <c r="B3299" t="s">
        <v>1151</v>
      </c>
      <c r="C3299" t="s">
        <v>10400</v>
      </c>
      <c r="D3299" t="s">
        <v>10401</v>
      </c>
      <c r="E3299" t="s">
        <v>1387</v>
      </c>
      <c r="F3299" t="s">
        <v>24</v>
      </c>
      <c r="G3299" t="s">
        <v>24</v>
      </c>
      <c r="H3299">
        <f>15943*(1.01^10)</f>
        <v>17610.990545430835</v>
      </c>
      <c r="I3299">
        <f>72088*(1.01^10)</f>
        <v>79629.99977664293</v>
      </c>
      <c r="J3299" t="s">
        <v>10402</v>
      </c>
      <c r="K3299">
        <f t="shared" si="51"/>
        <v>149.78350320232894</v>
      </c>
    </row>
    <row r="3300" spans="1:11" x14ac:dyDescent="0.2">
      <c r="A3300" t="s">
        <v>796</v>
      </c>
      <c r="B3300" t="s">
        <v>1151</v>
      </c>
      <c r="C3300" t="s">
        <v>10403</v>
      </c>
      <c r="D3300" t="s">
        <v>10404</v>
      </c>
      <c r="E3300" t="s">
        <v>399</v>
      </c>
      <c r="F3300" t="s">
        <v>24</v>
      </c>
      <c r="G3300" t="s">
        <v>5</v>
      </c>
      <c r="H3300">
        <f>50650*(1.01^10)</f>
        <v>55949.110652077521</v>
      </c>
      <c r="I3300">
        <f>232411*(1.01^10)</f>
        <v>256726.33278894352</v>
      </c>
      <c r="J3300" t="s">
        <v>10405</v>
      </c>
      <c r="K3300">
        <f t="shared" si="51"/>
        <v>344.71403251366274</v>
      </c>
    </row>
    <row r="3301" spans="1:11" x14ac:dyDescent="0.2">
      <c r="A3301" t="s">
        <v>796</v>
      </c>
      <c r="B3301" t="s">
        <v>1151</v>
      </c>
      <c r="C3301" t="s">
        <v>10406</v>
      </c>
      <c r="D3301" t="s">
        <v>10407</v>
      </c>
      <c r="E3301" t="s">
        <v>1223</v>
      </c>
      <c r="F3301" t="s">
        <v>12</v>
      </c>
      <c r="G3301" t="s">
        <v>24</v>
      </c>
      <c r="H3301">
        <f>20158*(1.01^10)</f>
        <v>22266.972804039066</v>
      </c>
      <c r="I3301">
        <f>87603*(1.01^10)</f>
        <v>96768.212052397765</v>
      </c>
      <c r="J3301" t="s">
        <v>10408</v>
      </c>
      <c r="K3301">
        <f t="shared" si="51"/>
        <v>59.925447608324056</v>
      </c>
    </row>
    <row r="3302" spans="1:11" x14ac:dyDescent="0.2">
      <c r="A3302" t="s">
        <v>796</v>
      </c>
      <c r="B3302" t="s">
        <v>1151</v>
      </c>
      <c r="C3302" t="s">
        <v>10409</v>
      </c>
      <c r="D3302" t="s">
        <v>10410</v>
      </c>
      <c r="E3302" t="s">
        <v>2395</v>
      </c>
      <c r="F3302" t="s">
        <v>24</v>
      </c>
      <c r="G3302" t="s">
        <v>12</v>
      </c>
      <c r="H3302">
        <f>30792*(1.01^10)</f>
        <v>34013.524485661816</v>
      </c>
      <c r="I3302">
        <f>131216*(1.01^10)</f>
        <v>144944.09680795664</v>
      </c>
      <c r="J3302" t="s">
        <v>10411</v>
      </c>
      <c r="K3302">
        <f t="shared" si="51"/>
        <v>199.5101126055838</v>
      </c>
    </row>
    <row r="3303" spans="1:11" x14ac:dyDescent="0.2">
      <c r="A3303" t="s">
        <v>796</v>
      </c>
      <c r="B3303" t="s">
        <v>1151</v>
      </c>
      <c r="C3303" t="s">
        <v>10412</v>
      </c>
      <c r="D3303" t="s">
        <v>10413</v>
      </c>
      <c r="E3303" t="s">
        <v>1054</v>
      </c>
      <c r="F3303" t="s">
        <v>24</v>
      </c>
      <c r="G3303" t="s">
        <v>24</v>
      </c>
      <c r="H3303">
        <f>27496*(1.01^10)</f>
        <v>30372.689960306485</v>
      </c>
      <c r="I3303">
        <f>122233*(1.01^10)</f>
        <v>135021.27625538778</v>
      </c>
      <c r="J3303" t="s">
        <v>10414</v>
      </c>
      <c r="K3303">
        <f t="shared" si="51"/>
        <v>309.8629906810375</v>
      </c>
    </row>
    <row r="3304" spans="1:11" x14ac:dyDescent="0.2">
      <c r="A3304" t="s">
        <v>796</v>
      </c>
      <c r="B3304" t="s">
        <v>1151</v>
      </c>
      <c r="C3304" t="s">
        <v>10415</v>
      </c>
      <c r="D3304" t="s">
        <v>10416</v>
      </c>
      <c r="E3304" t="s">
        <v>333</v>
      </c>
      <c r="F3304" t="s">
        <v>24</v>
      </c>
      <c r="G3304" t="s">
        <v>12</v>
      </c>
      <c r="H3304">
        <f>14531*(1.01^10)</f>
        <v>16051.264104350215</v>
      </c>
      <c r="I3304">
        <f>64797*(1.01^10)</f>
        <v>71576.19986026983</v>
      </c>
      <c r="J3304" t="s">
        <v>10417</v>
      </c>
      <c r="K3304">
        <f t="shared" si="51"/>
        <v>124.2195232416415</v>
      </c>
    </row>
    <row r="3305" spans="1:11" x14ac:dyDescent="0.2">
      <c r="A3305" t="s">
        <v>796</v>
      </c>
      <c r="B3305" t="s">
        <v>1151</v>
      </c>
      <c r="C3305" t="s">
        <v>10418</v>
      </c>
      <c r="D3305" t="s">
        <v>10419</v>
      </c>
      <c r="E3305" t="s">
        <v>479</v>
      </c>
      <c r="F3305" t="s">
        <v>24</v>
      </c>
      <c r="G3305" t="s">
        <v>12</v>
      </c>
      <c r="H3305">
        <f>60392*(1.01^10)</f>
        <v>66710.339397833479</v>
      </c>
      <c r="I3305">
        <f>279717*(1.01^10)</f>
        <v>308981.58705364598</v>
      </c>
      <c r="J3305" t="s">
        <v>10420</v>
      </c>
      <c r="K3305">
        <f t="shared" si="51"/>
        <v>421.79678893899131</v>
      </c>
    </row>
    <row r="3306" spans="1:11" x14ac:dyDescent="0.2">
      <c r="A3306" t="s">
        <v>796</v>
      </c>
      <c r="B3306" t="s">
        <v>1151</v>
      </c>
      <c r="C3306" t="s">
        <v>10421</v>
      </c>
      <c r="D3306" t="s">
        <v>9004</v>
      </c>
      <c r="E3306" t="s">
        <v>32</v>
      </c>
      <c r="F3306" t="s">
        <v>24</v>
      </c>
      <c r="G3306" t="s">
        <v>12</v>
      </c>
      <c r="H3306">
        <f>28334*(1.01^10)</f>
        <v>31298.363301401074</v>
      </c>
      <c r="I3306">
        <f>118969*(1.01^10)</f>
        <v>131415.78963804562</v>
      </c>
      <c r="J3306" t="s">
        <v>10422</v>
      </c>
      <c r="K3306">
        <f t="shared" si="51"/>
        <v>195.67661688153672</v>
      </c>
    </row>
    <row r="3307" spans="1:11" x14ac:dyDescent="0.2">
      <c r="A3307" t="s">
        <v>796</v>
      </c>
      <c r="B3307" t="s">
        <v>1151</v>
      </c>
      <c r="C3307" t="s">
        <v>10423</v>
      </c>
      <c r="D3307" t="s">
        <v>10424</v>
      </c>
      <c r="E3307" t="s">
        <v>324</v>
      </c>
      <c r="F3307" t="s">
        <v>24</v>
      </c>
      <c r="G3307" t="s">
        <v>24</v>
      </c>
      <c r="H3307">
        <f>18029*(1.01^10)</f>
        <v>19915.232299038609</v>
      </c>
      <c r="I3307">
        <f>78918*(1.01^10)</f>
        <v>87174.56889320146</v>
      </c>
      <c r="J3307" t="s">
        <v>10425</v>
      </c>
      <c r="K3307">
        <f t="shared" si="51"/>
        <v>122.48667104381222</v>
      </c>
    </row>
    <row r="3308" spans="1:11" x14ac:dyDescent="0.2">
      <c r="A3308" t="s">
        <v>796</v>
      </c>
      <c r="B3308" t="s">
        <v>1151</v>
      </c>
      <c r="C3308" t="s">
        <v>10426</v>
      </c>
      <c r="D3308" t="s">
        <v>5006</v>
      </c>
      <c r="E3308" t="s">
        <v>484</v>
      </c>
      <c r="F3308" t="s">
        <v>24</v>
      </c>
      <c r="G3308" t="s">
        <v>12</v>
      </c>
      <c r="H3308">
        <f>23892*(1.01^10)</f>
        <v>26391.631820324503</v>
      </c>
      <c r="I3308">
        <f>109022*(1.01^10)</f>
        <v>120428.11335658036</v>
      </c>
      <c r="J3308" t="s">
        <v>10427</v>
      </c>
      <c r="K3308">
        <f t="shared" si="51"/>
        <v>160.79707556988845</v>
      </c>
    </row>
    <row r="3309" spans="1:11" x14ac:dyDescent="0.2">
      <c r="A3309" t="s">
        <v>796</v>
      </c>
      <c r="B3309" t="s">
        <v>1151</v>
      </c>
      <c r="C3309" t="s">
        <v>10428</v>
      </c>
      <c r="D3309" t="s">
        <v>10429</v>
      </c>
      <c r="E3309" t="s">
        <v>436</v>
      </c>
      <c r="F3309" t="s">
        <v>24</v>
      </c>
      <c r="G3309" t="s">
        <v>24</v>
      </c>
      <c r="H3309">
        <f>27455*(1.01^10)</f>
        <v>30327.400453164628</v>
      </c>
      <c r="I3309">
        <f>119800*(1.01^10)</f>
        <v>132333.73062426233</v>
      </c>
      <c r="J3309" t="s">
        <v>10430</v>
      </c>
      <c r="K3309">
        <f t="shared" si="51"/>
        <v>225.29020833028878</v>
      </c>
    </row>
    <row r="3310" spans="1:11" x14ac:dyDescent="0.2">
      <c r="A3310" t="s">
        <v>796</v>
      </c>
      <c r="B3310" t="s">
        <v>1151</v>
      </c>
      <c r="C3310" t="s">
        <v>10431</v>
      </c>
      <c r="D3310" t="s">
        <v>3020</v>
      </c>
      <c r="E3310" t="s">
        <v>91</v>
      </c>
      <c r="F3310" t="s">
        <v>24</v>
      </c>
      <c r="G3310" t="s">
        <v>12</v>
      </c>
      <c r="H3310">
        <f>21338*(1.01^10)</f>
        <v>23570.426912024286</v>
      </c>
      <c r="I3310">
        <f>96131*(1.01^10)</f>
        <v>106188.42953790452</v>
      </c>
      <c r="J3310" t="s">
        <v>10432</v>
      </c>
      <c r="K3310">
        <f t="shared" si="51"/>
        <v>202.9086931827342</v>
      </c>
    </row>
    <row r="3311" spans="1:11" x14ac:dyDescent="0.2">
      <c r="A3311" t="s">
        <v>796</v>
      </c>
      <c r="B3311" t="s">
        <v>1151</v>
      </c>
      <c r="C3311" t="s">
        <v>10433</v>
      </c>
      <c r="D3311" t="s">
        <v>10434</v>
      </c>
      <c r="E3311" t="s">
        <v>1580</v>
      </c>
      <c r="F3311" t="s">
        <v>24</v>
      </c>
      <c r="G3311" t="s">
        <v>24</v>
      </c>
      <c r="H3311">
        <f>16419*(1.01^10)</f>
        <v>18136.79067712657</v>
      </c>
      <c r="I3311">
        <f>70244*(1.01^10)</f>
        <v>77593.076577384665</v>
      </c>
      <c r="J3311" t="s">
        <v>10435</v>
      </c>
      <c r="K3311">
        <f t="shared" si="51"/>
        <v>205.81114029928571</v>
      </c>
    </row>
    <row r="3312" spans="1:11" x14ac:dyDescent="0.2">
      <c r="A3312" t="s">
        <v>796</v>
      </c>
      <c r="B3312" t="s">
        <v>1151</v>
      </c>
      <c r="C3312" t="s">
        <v>10436</v>
      </c>
      <c r="D3312" t="s">
        <v>10437</v>
      </c>
      <c r="E3312" t="s">
        <v>333</v>
      </c>
      <c r="F3312" t="s">
        <v>24</v>
      </c>
      <c r="G3312" t="s">
        <v>24</v>
      </c>
      <c r="H3312">
        <f>16869*(1.01^10)</f>
        <v>18633.870633561612</v>
      </c>
      <c r="I3312">
        <f>76573*(1.01^10)</f>
        <v>84584.230009112187</v>
      </c>
      <c r="J3312" t="s">
        <v>10438</v>
      </c>
      <c r="K3312">
        <f t="shared" si="51"/>
        <v>208.03785044393089</v>
      </c>
    </row>
    <row r="3313" spans="1:11" x14ac:dyDescent="0.2">
      <c r="A3313" t="s">
        <v>796</v>
      </c>
      <c r="B3313" t="s">
        <v>1332</v>
      </c>
      <c r="C3313" t="s">
        <v>10439</v>
      </c>
      <c r="D3313" t="s">
        <v>10440</v>
      </c>
      <c r="E3313" t="s">
        <v>771</v>
      </c>
      <c r="F3313" t="s">
        <v>24</v>
      </c>
      <c r="G3313" t="s">
        <v>12</v>
      </c>
      <c r="H3313">
        <f>39165*(1.01^10)</f>
        <v>43262.525541729832</v>
      </c>
      <c r="I3313">
        <f>171711*(1.01^10)</f>
        <v>189675.76977648339</v>
      </c>
      <c r="J3313" t="s">
        <v>10441</v>
      </c>
      <c r="K3313">
        <f t="shared" si="51"/>
        <v>127.62723630303624</v>
      </c>
    </row>
    <row r="3314" spans="1:11" x14ac:dyDescent="0.2">
      <c r="A3314" t="s">
        <v>796</v>
      </c>
      <c r="B3314" t="s">
        <v>1332</v>
      </c>
      <c r="C3314" t="s">
        <v>10442</v>
      </c>
      <c r="D3314" t="s">
        <v>10443</v>
      </c>
      <c r="E3314" t="s">
        <v>425</v>
      </c>
      <c r="F3314" t="s">
        <v>24</v>
      </c>
      <c r="G3314" t="s">
        <v>24</v>
      </c>
      <c r="H3314">
        <f>18209*(1.01^10)</f>
        <v>20114.064281612627</v>
      </c>
      <c r="I3314">
        <f>76735*(1.01^10)</f>
        <v>84763.1787934288</v>
      </c>
      <c r="J3314" t="s">
        <v>10444</v>
      </c>
      <c r="K3314">
        <f t="shared" si="51"/>
        <v>150.97997718896539</v>
      </c>
    </row>
    <row r="3315" spans="1:11" x14ac:dyDescent="0.2">
      <c r="A3315" t="s">
        <v>796</v>
      </c>
      <c r="B3315" t="s">
        <v>1332</v>
      </c>
      <c r="C3315" t="s">
        <v>10445</v>
      </c>
      <c r="D3315" t="s">
        <v>10446</v>
      </c>
      <c r="E3315" t="s">
        <v>32</v>
      </c>
      <c r="F3315" t="s">
        <v>12</v>
      </c>
      <c r="G3315" t="s">
        <v>12</v>
      </c>
      <c r="H3315">
        <f>20792*(1.01^10)</f>
        <v>22967.303231549769</v>
      </c>
      <c r="I3315">
        <f>96360*(1.01^10)</f>
        <v>106441.38800462369</v>
      </c>
      <c r="J3315" t="s">
        <v>10447</v>
      </c>
      <c r="K3315">
        <f t="shared" si="51"/>
        <v>140.4462289605527</v>
      </c>
    </row>
    <row r="3316" spans="1:11" x14ac:dyDescent="0.2">
      <c r="A3316" t="s">
        <v>796</v>
      </c>
      <c r="B3316" t="s">
        <v>1332</v>
      </c>
      <c r="C3316" t="s">
        <v>10448</v>
      </c>
      <c r="D3316" t="s">
        <v>10449</v>
      </c>
      <c r="E3316" t="s">
        <v>611</v>
      </c>
      <c r="F3316" t="s">
        <v>24</v>
      </c>
      <c r="G3316" t="s">
        <v>24</v>
      </c>
      <c r="H3316">
        <f>12511*(1.01^10)</f>
        <v>13819.927411019582</v>
      </c>
      <c r="I3316">
        <f>60695*(1.01^10)</f>
        <v>67045.039901833079</v>
      </c>
      <c r="J3316" t="s">
        <v>10450</v>
      </c>
      <c r="K3316">
        <f t="shared" si="51"/>
        <v>108.19649469359501</v>
      </c>
    </row>
    <row r="3317" spans="1:11" x14ac:dyDescent="0.2">
      <c r="A3317" t="s">
        <v>796</v>
      </c>
      <c r="B3317" t="s">
        <v>1332</v>
      </c>
      <c r="C3317" t="s">
        <v>10451</v>
      </c>
      <c r="D3317" t="s">
        <v>10452</v>
      </c>
      <c r="E3317" t="s">
        <v>2395</v>
      </c>
      <c r="F3317" t="s">
        <v>24</v>
      </c>
      <c r="G3317" t="s">
        <v>12</v>
      </c>
      <c r="H3317">
        <f>21487*(1.01^10)</f>
        <v>23735.015608710557</v>
      </c>
      <c r="I3317">
        <f>95300*(1.01^10)</f>
        <v>105270.48855168781</v>
      </c>
      <c r="J3317" t="s">
        <v>10453</v>
      </c>
      <c r="K3317">
        <f t="shared" si="51"/>
        <v>246.7120901374366</v>
      </c>
    </row>
    <row r="3318" spans="1:11" x14ac:dyDescent="0.2">
      <c r="A3318" t="s">
        <v>796</v>
      </c>
      <c r="B3318" t="s">
        <v>1332</v>
      </c>
      <c r="C3318" t="s">
        <v>10454</v>
      </c>
      <c r="D3318" t="s">
        <v>10455</v>
      </c>
      <c r="E3318" t="s">
        <v>232</v>
      </c>
      <c r="F3318" t="s">
        <v>24</v>
      </c>
      <c r="G3318" t="s">
        <v>24</v>
      </c>
      <c r="H3318">
        <f>11735*(1.01^10)</f>
        <v>12962.740641700488</v>
      </c>
      <c r="I3318">
        <f>50840*(1.01^10)</f>
        <v>56158.988855905649</v>
      </c>
      <c r="J3318" t="s">
        <v>10456</v>
      </c>
      <c r="K3318">
        <f t="shared" si="51"/>
        <v>107.62708432838184</v>
      </c>
    </row>
    <row r="3319" spans="1:11" x14ac:dyDescent="0.2">
      <c r="A3319" t="s">
        <v>796</v>
      </c>
      <c r="B3319" t="s">
        <v>1332</v>
      </c>
      <c r="C3319" t="s">
        <v>10457</v>
      </c>
      <c r="D3319" t="s">
        <v>10458</v>
      </c>
      <c r="E3319" t="s">
        <v>1223</v>
      </c>
      <c r="F3319" t="s">
        <v>24</v>
      </c>
      <c r="G3319" t="s">
        <v>24</v>
      </c>
      <c r="H3319">
        <f>25456*(1.01^10)</f>
        <v>28119.260824467627</v>
      </c>
      <c r="I3319">
        <f>108498*(1.01^10)</f>
        <v>119849.2913628649</v>
      </c>
      <c r="J3319" t="s">
        <v>10459</v>
      </c>
      <c r="K3319">
        <f t="shared" si="51"/>
        <v>181.32348649054924</v>
      </c>
    </row>
    <row r="3320" spans="1:11" x14ac:dyDescent="0.2">
      <c r="A3320" t="s">
        <v>796</v>
      </c>
      <c r="B3320" t="s">
        <v>1332</v>
      </c>
      <c r="C3320" t="s">
        <v>10460</v>
      </c>
      <c r="D3320" t="s">
        <v>10461</v>
      </c>
      <c r="E3320" t="s">
        <v>1617</v>
      </c>
      <c r="F3320" t="s">
        <v>24</v>
      </c>
      <c r="G3320" t="s">
        <v>17</v>
      </c>
      <c r="H3320">
        <f>43215*(1.01^10)</f>
        <v>47736.245149645212</v>
      </c>
      <c r="I3320">
        <f>191530*(1.01^10)</f>
        <v>211568.27568000805</v>
      </c>
      <c r="J3320" t="s">
        <v>10462</v>
      </c>
      <c r="K3320">
        <f t="shared" si="51"/>
        <v>263.33277699381301</v>
      </c>
    </row>
    <row r="3321" spans="1:11" x14ac:dyDescent="0.2">
      <c r="A3321" t="s">
        <v>796</v>
      </c>
      <c r="B3321" t="s">
        <v>1130</v>
      </c>
      <c r="C3321" t="s">
        <v>10463</v>
      </c>
      <c r="D3321" t="s">
        <v>10464</v>
      </c>
      <c r="E3321" t="s">
        <v>396</v>
      </c>
      <c r="F3321" t="s">
        <v>12</v>
      </c>
      <c r="G3321" t="s">
        <v>12</v>
      </c>
      <c r="H3321">
        <f>48428*(1.01^10)</f>
        <v>53494.640289413823</v>
      </c>
      <c r="I3321">
        <f>207030*(1.01^10)</f>
        <v>228689.91862388171</v>
      </c>
      <c r="J3321" t="s">
        <v>10465</v>
      </c>
      <c r="K3321">
        <f t="shared" si="51"/>
        <v>118.14443241929435</v>
      </c>
    </row>
    <row r="3322" spans="1:11" x14ac:dyDescent="0.2">
      <c r="A3322" t="s">
        <v>796</v>
      </c>
      <c r="B3322" t="s">
        <v>1130</v>
      </c>
      <c r="C3322" t="s">
        <v>10466</v>
      </c>
      <c r="D3322" t="s">
        <v>10467</v>
      </c>
      <c r="E3322" t="s">
        <v>2283</v>
      </c>
      <c r="F3322" t="s">
        <v>17</v>
      </c>
      <c r="G3322" t="s">
        <v>12</v>
      </c>
      <c r="H3322">
        <f>31465*(1.01^10)</f>
        <v>34756.935176063555</v>
      </c>
      <c r="I3322">
        <f>130613*(1.01^10)</f>
        <v>144278.00966633367</v>
      </c>
      <c r="J3322" t="s">
        <v>10468</v>
      </c>
      <c r="K3322">
        <f t="shared" si="51"/>
        <v>181.38991114294674</v>
      </c>
    </row>
    <row r="3323" spans="1:11" x14ac:dyDescent="0.2">
      <c r="A3323" t="s">
        <v>796</v>
      </c>
      <c r="B3323" t="s">
        <v>1130</v>
      </c>
      <c r="C3323" t="s">
        <v>10469</v>
      </c>
      <c r="D3323" t="s">
        <v>10470</v>
      </c>
      <c r="E3323" t="s">
        <v>410</v>
      </c>
      <c r="F3323" t="s">
        <v>12</v>
      </c>
      <c r="G3323" t="s">
        <v>12</v>
      </c>
      <c r="H3323">
        <f>19618*(1.01^10)</f>
        <v>21670.476856317015</v>
      </c>
      <c r="I3323">
        <f>79425*(1.01^10)</f>
        <v>87734.612310784942</v>
      </c>
      <c r="J3323" t="s">
        <v>10471</v>
      </c>
      <c r="K3323">
        <f t="shared" si="51"/>
        <v>182.32657110149731</v>
      </c>
    </row>
    <row r="3324" spans="1:11" x14ac:dyDescent="0.2">
      <c r="A3324" t="s">
        <v>796</v>
      </c>
      <c r="B3324" t="s">
        <v>1130</v>
      </c>
      <c r="C3324" t="s">
        <v>10472</v>
      </c>
      <c r="D3324" t="s">
        <v>10473</v>
      </c>
      <c r="E3324" t="s">
        <v>315</v>
      </c>
      <c r="F3324" t="s">
        <v>12</v>
      </c>
      <c r="G3324" t="s">
        <v>24</v>
      </c>
      <c r="H3324">
        <f>23963*(1.01^10)</f>
        <v>26470.0599912287</v>
      </c>
      <c r="I3324">
        <f>97975*(1.01^10)</f>
        <v>108225.35273716279</v>
      </c>
      <c r="J3324" t="s">
        <v>10474</v>
      </c>
      <c r="K3324">
        <f t="shared" si="51"/>
        <v>148.45464613697771</v>
      </c>
    </row>
    <row r="3325" spans="1:11" x14ac:dyDescent="0.2">
      <c r="A3325" t="s">
        <v>796</v>
      </c>
      <c r="B3325" t="s">
        <v>1130</v>
      </c>
      <c r="C3325" t="s">
        <v>10475</v>
      </c>
      <c r="D3325" t="s">
        <v>10476</v>
      </c>
      <c r="E3325" t="s">
        <v>2777</v>
      </c>
      <c r="F3325" t="s">
        <v>17</v>
      </c>
      <c r="G3325" t="s">
        <v>17</v>
      </c>
      <c r="H3325">
        <f>72961*(1.01^10)</f>
        <v>80594.334892126906</v>
      </c>
      <c r="I3325">
        <f>307513*(1.01^10)</f>
        <v>339685.6636515758</v>
      </c>
      <c r="J3325" t="s">
        <v>10477</v>
      </c>
      <c r="K3325">
        <f t="shared" si="51"/>
        <v>520.65374110536754</v>
      </c>
    </row>
    <row r="3326" spans="1:11" x14ac:dyDescent="0.2">
      <c r="A3326" t="s">
        <v>796</v>
      </c>
      <c r="B3326" t="s">
        <v>1130</v>
      </c>
      <c r="C3326" t="s">
        <v>10478</v>
      </c>
      <c r="D3326" t="s">
        <v>10479</v>
      </c>
      <c r="E3326" t="s">
        <v>1282</v>
      </c>
      <c r="F3326" t="s">
        <v>24</v>
      </c>
      <c r="G3326" t="s">
        <v>12</v>
      </c>
      <c r="H3326">
        <f>36644*(1.01^10)</f>
        <v>40477.773163568185</v>
      </c>
      <c r="I3326">
        <f>139799*(1.01^10)</f>
        <v>154425.06851036102</v>
      </c>
      <c r="J3326" t="s">
        <v>10480</v>
      </c>
      <c r="K3326">
        <f t="shared" si="51"/>
        <v>325.95616411486242</v>
      </c>
    </row>
    <row r="3327" spans="1:11" x14ac:dyDescent="0.2">
      <c r="A3327" t="s">
        <v>796</v>
      </c>
      <c r="B3327" t="s">
        <v>1130</v>
      </c>
      <c r="C3327" t="s">
        <v>10481</v>
      </c>
      <c r="D3327" t="s">
        <v>10482</v>
      </c>
      <c r="E3327" t="s">
        <v>1233</v>
      </c>
      <c r="F3327" t="s">
        <v>12</v>
      </c>
      <c r="G3327" t="s">
        <v>12</v>
      </c>
      <c r="H3327">
        <f>36706*(1.01^10)</f>
        <v>40546.259735343679</v>
      </c>
      <c r="I3327">
        <f>150627*(1.01^10)</f>
        <v>166385.91688431354</v>
      </c>
      <c r="J3327" t="s">
        <v>10483</v>
      </c>
      <c r="K3327">
        <f t="shared" si="51"/>
        <v>323.6664272542784</v>
      </c>
    </row>
    <row r="3328" spans="1:11" x14ac:dyDescent="0.2">
      <c r="A3328" t="s">
        <v>796</v>
      </c>
      <c r="B3328" t="s">
        <v>1130</v>
      </c>
      <c r="C3328" t="s">
        <v>10484</v>
      </c>
      <c r="D3328" t="s">
        <v>10485</v>
      </c>
      <c r="E3328" t="s">
        <v>918</v>
      </c>
      <c r="F3328" t="s">
        <v>318</v>
      </c>
      <c r="G3328" t="s">
        <v>12</v>
      </c>
      <c r="H3328">
        <f>57327*(1.01^10)</f>
        <v>63324.672583448133</v>
      </c>
      <c r="I3328">
        <f>229603*(1.01^10)</f>
        <v>253624.55386078884</v>
      </c>
      <c r="J3328" t="s">
        <v>10486</v>
      </c>
      <c r="K3328">
        <f t="shared" si="51"/>
        <v>287.05405381744254</v>
      </c>
    </row>
    <row r="3329" spans="1:11" x14ac:dyDescent="0.2">
      <c r="A3329" t="s">
        <v>796</v>
      </c>
      <c r="B3329" t="s">
        <v>1130</v>
      </c>
      <c r="C3329" t="s">
        <v>10487</v>
      </c>
      <c r="D3329" t="s">
        <v>10488</v>
      </c>
      <c r="E3329" t="s">
        <v>933</v>
      </c>
      <c r="F3329" t="s">
        <v>445</v>
      </c>
      <c r="G3329" t="s">
        <v>17</v>
      </c>
      <c r="H3329">
        <f>40850*(1.01^10)</f>
        <v>45123.813823047713</v>
      </c>
      <c r="I3329">
        <f>151399*(1.01^10)</f>
        <v>167238.685165131</v>
      </c>
      <c r="J3329" t="s">
        <v>10489</v>
      </c>
      <c r="K3329">
        <f t="shared" si="51"/>
        <v>269.34094017810133</v>
      </c>
    </row>
    <row r="3330" spans="1:11" x14ac:dyDescent="0.2">
      <c r="A3330" t="s">
        <v>796</v>
      </c>
      <c r="B3330" t="s">
        <v>460</v>
      </c>
      <c r="C3330" t="s">
        <v>10490</v>
      </c>
      <c r="D3330" t="s">
        <v>10491</v>
      </c>
      <c r="E3330" t="s">
        <v>1617</v>
      </c>
      <c r="F3330" t="s">
        <v>11</v>
      </c>
      <c r="G3330" t="s">
        <v>5</v>
      </c>
      <c r="H3330">
        <f>68557*(1.01^10)</f>
        <v>75729.579051815963</v>
      </c>
      <c r="I3330">
        <f>304058*(1.01^10)</f>
        <v>335869.19420828007</v>
      </c>
      <c r="J3330" t="s">
        <v>10492</v>
      </c>
      <c r="K3330">
        <f t="shared" si="51"/>
        <v>588.29467212268025</v>
      </c>
    </row>
    <row r="3331" spans="1:11" x14ac:dyDescent="0.2">
      <c r="A3331" t="s">
        <v>796</v>
      </c>
      <c r="B3331" t="s">
        <v>460</v>
      </c>
      <c r="C3331" t="s">
        <v>10493</v>
      </c>
      <c r="D3331" t="s">
        <v>10494</v>
      </c>
      <c r="E3331" t="s">
        <v>1955</v>
      </c>
      <c r="F3331" t="s">
        <v>11</v>
      </c>
      <c r="G3331" t="s">
        <v>24</v>
      </c>
      <c r="H3331">
        <f>44125*(1.01^10)</f>
        <v>48741.451283769413</v>
      </c>
      <c r="I3331">
        <f>188783*(1.01^10)</f>
        <v>208533.87870150348</v>
      </c>
      <c r="J3331" t="s">
        <v>10495</v>
      </c>
      <c r="K3331">
        <f t="shared" ref="K3331:K3394" si="52">I3331/J3331</f>
        <v>100.48275865963006</v>
      </c>
    </row>
    <row r="3332" spans="1:11" x14ac:dyDescent="0.2">
      <c r="A3332" t="s">
        <v>796</v>
      </c>
      <c r="B3332" t="s">
        <v>460</v>
      </c>
      <c r="C3332" t="s">
        <v>10496</v>
      </c>
      <c r="D3332" t="s">
        <v>2363</v>
      </c>
      <c r="E3332" t="s">
        <v>784</v>
      </c>
      <c r="F3332" t="s">
        <v>24</v>
      </c>
      <c r="G3332" t="s">
        <v>12</v>
      </c>
      <c r="H3332">
        <f>45518*(1.01^10)</f>
        <v>50280.189904467217</v>
      </c>
      <c r="I3332">
        <f>198746*(1.01^10)</f>
        <v>219539.2289369753</v>
      </c>
      <c r="J3332" t="s">
        <v>10497</v>
      </c>
      <c r="K3332">
        <f t="shared" si="52"/>
        <v>169.69839353039495</v>
      </c>
    </row>
    <row r="3333" spans="1:11" x14ac:dyDescent="0.2">
      <c r="A3333" t="s">
        <v>796</v>
      </c>
      <c r="B3333" t="s">
        <v>460</v>
      </c>
      <c r="C3333" t="s">
        <v>10498</v>
      </c>
      <c r="D3333" t="s">
        <v>10499</v>
      </c>
      <c r="E3333" t="s">
        <v>761</v>
      </c>
      <c r="F3333" t="s">
        <v>92</v>
      </c>
      <c r="G3333" t="s">
        <v>17</v>
      </c>
      <c r="H3333">
        <f>86261*(1.01^10)</f>
        <v>95285.809160095931</v>
      </c>
      <c r="I3333">
        <f>369257*(1.01^10)</f>
        <v>407889.45216296526</v>
      </c>
      <c r="J3333" t="s">
        <v>10500</v>
      </c>
      <c r="K3333">
        <f t="shared" si="52"/>
        <v>204.30933666106554</v>
      </c>
    </row>
    <row r="3334" spans="1:11" x14ac:dyDescent="0.2">
      <c r="A3334" t="s">
        <v>796</v>
      </c>
      <c r="B3334" t="s">
        <v>460</v>
      </c>
      <c r="C3334" t="s">
        <v>10501</v>
      </c>
      <c r="D3334" t="s">
        <v>10502</v>
      </c>
      <c r="E3334" t="s">
        <v>560</v>
      </c>
      <c r="F3334" t="s">
        <v>12</v>
      </c>
      <c r="G3334" t="s">
        <v>24</v>
      </c>
      <c r="H3334">
        <f>35612*(1.01^10)</f>
        <v>39337.803130143824</v>
      </c>
      <c r="I3334">
        <f>145796*(1.01^10)</f>
        <v>161049.48739645199</v>
      </c>
      <c r="J3334" t="s">
        <v>10503</v>
      </c>
      <c r="K3334">
        <f t="shared" si="52"/>
        <v>243.41417399449708</v>
      </c>
    </row>
    <row r="3335" spans="1:11" x14ac:dyDescent="0.2">
      <c r="A3335" t="s">
        <v>796</v>
      </c>
      <c r="B3335" t="s">
        <v>1024</v>
      </c>
      <c r="C3335" t="s">
        <v>10504</v>
      </c>
      <c r="D3335" t="s">
        <v>10505</v>
      </c>
      <c r="E3335" t="s">
        <v>180</v>
      </c>
      <c r="F3335" t="s">
        <v>24</v>
      </c>
      <c r="G3335" t="s">
        <v>12</v>
      </c>
      <c r="H3335">
        <f>32604*(1.01^10)</f>
        <v>36015.099776906922</v>
      </c>
      <c r="I3335">
        <f>153060*(1.01^10)</f>
        <v>169073.46251543899</v>
      </c>
      <c r="J3335" t="s">
        <v>10506</v>
      </c>
      <c r="K3335">
        <f t="shared" si="52"/>
        <v>710.4261353290126</v>
      </c>
    </row>
    <row r="3336" spans="1:11" x14ac:dyDescent="0.2">
      <c r="A3336" t="s">
        <v>796</v>
      </c>
      <c r="B3336" t="s">
        <v>1024</v>
      </c>
      <c r="C3336" t="s">
        <v>10507</v>
      </c>
      <c r="D3336" t="s">
        <v>10508</v>
      </c>
      <c r="E3336" t="s">
        <v>1229</v>
      </c>
      <c r="F3336" t="s">
        <v>17</v>
      </c>
      <c r="G3336" t="s">
        <v>12</v>
      </c>
      <c r="H3336">
        <f>39340*(1.01^10)</f>
        <v>43455.834413676792</v>
      </c>
      <c r="I3336">
        <f>176080*(1.01^10)</f>
        <v>194501.86384240494</v>
      </c>
      <c r="J3336" t="s">
        <v>10509</v>
      </c>
      <c r="K3336">
        <f t="shared" si="52"/>
        <v>510.59010042437814</v>
      </c>
    </row>
    <row r="3337" spans="1:11" x14ac:dyDescent="0.2">
      <c r="A3337" t="s">
        <v>796</v>
      </c>
      <c r="B3337" t="s">
        <v>1024</v>
      </c>
      <c r="C3337" t="s">
        <v>10510</v>
      </c>
      <c r="D3337" t="s">
        <v>10511</v>
      </c>
      <c r="E3337" t="s">
        <v>537</v>
      </c>
      <c r="F3337" t="s">
        <v>24</v>
      </c>
      <c r="G3337" t="s">
        <v>12</v>
      </c>
      <c r="H3337">
        <f>24975*(1.01^10)</f>
        <v>27587.937582144838</v>
      </c>
      <c r="I3337">
        <f>103219*(1.01^10)</f>
        <v>114017.99116281915</v>
      </c>
      <c r="J3337" t="s">
        <v>10512</v>
      </c>
      <c r="K3337">
        <f t="shared" si="52"/>
        <v>289.19401827378391</v>
      </c>
    </row>
    <row r="3338" spans="1:11" x14ac:dyDescent="0.2">
      <c r="A3338" t="s">
        <v>796</v>
      </c>
      <c r="B3338" t="s">
        <v>1024</v>
      </c>
      <c r="C3338" t="s">
        <v>10513</v>
      </c>
      <c r="D3338" t="s">
        <v>10514</v>
      </c>
      <c r="E3338" t="s">
        <v>537</v>
      </c>
      <c r="F3338" t="s">
        <v>17</v>
      </c>
      <c r="G3338" t="s">
        <v>17</v>
      </c>
      <c r="H3338">
        <f>31817*(1.01^10)</f>
        <v>35145.762164208303</v>
      </c>
      <c r="I3338">
        <f>156947*(1.01^10)</f>
        <v>173367.12871691235</v>
      </c>
      <c r="J3338" t="s">
        <v>10515</v>
      </c>
      <c r="K3338">
        <f t="shared" si="52"/>
        <v>459.0297228932231</v>
      </c>
    </row>
    <row r="3339" spans="1:11" x14ac:dyDescent="0.2">
      <c r="A3339" t="s">
        <v>796</v>
      </c>
      <c r="B3339" t="s">
        <v>1024</v>
      </c>
      <c r="C3339" t="s">
        <v>10516</v>
      </c>
      <c r="D3339" t="s">
        <v>10517</v>
      </c>
      <c r="E3339" t="s">
        <v>879</v>
      </c>
      <c r="F3339" t="s">
        <v>12</v>
      </c>
      <c r="G3339" t="s">
        <v>17</v>
      </c>
      <c r="H3339">
        <f>45743*(1.01^10)</f>
        <v>50528.72988268474</v>
      </c>
      <c r="I3339">
        <f>211189*(1.01^10)</f>
        <v>233284.04204346691</v>
      </c>
      <c r="J3339" t="s">
        <v>10518</v>
      </c>
      <c r="K3339">
        <f t="shared" si="52"/>
        <v>601.85450498785087</v>
      </c>
    </row>
    <row r="3340" spans="1:11" x14ac:dyDescent="0.2">
      <c r="A3340" t="s">
        <v>796</v>
      </c>
      <c r="B3340" t="s">
        <v>1024</v>
      </c>
      <c r="C3340" t="s">
        <v>10519</v>
      </c>
      <c r="D3340" t="s">
        <v>10520</v>
      </c>
      <c r="E3340" t="s">
        <v>282</v>
      </c>
      <c r="F3340" t="s">
        <v>17</v>
      </c>
      <c r="G3340" t="s">
        <v>17</v>
      </c>
      <c r="H3340">
        <f>40918*(1.01^10)</f>
        <v>45198.928127575673</v>
      </c>
      <c r="I3340">
        <f>176477*(1.01^10)</f>
        <v>194940.39882619318</v>
      </c>
      <c r="J3340" t="s">
        <v>10521</v>
      </c>
      <c r="K3340">
        <f t="shared" si="52"/>
        <v>482.53607329431225</v>
      </c>
    </row>
    <row r="3341" spans="1:11" x14ac:dyDescent="0.2">
      <c r="A3341" t="s">
        <v>796</v>
      </c>
      <c r="B3341" t="s">
        <v>1024</v>
      </c>
      <c r="C3341" t="s">
        <v>10522</v>
      </c>
      <c r="D3341" t="s">
        <v>10523</v>
      </c>
      <c r="E3341" t="s">
        <v>535</v>
      </c>
      <c r="F3341" t="s">
        <v>17</v>
      </c>
      <c r="G3341" t="s">
        <v>17</v>
      </c>
      <c r="H3341">
        <f>36428*(1.01^10)</f>
        <v>40239.174784479364</v>
      </c>
      <c r="I3341">
        <f>166176*(1.01^10)</f>
        <v>183561.68631233237</v>
      </c>
      <c r="J3341" t="s">
        <v>10524</v>
      </c>
      <c r="K3341">
        <f t="shared" si="52"/>
        <v>415.0936463302159</v>
      </c>
    </row>
    <row r="3342" spans="1:11" x14ac:dyDescent="0.2">
      <c r="A3342" t="s">
        <v>796</v>
      </c>
      <c r="B3342" t="s">
        <v>1024</v>
      </c>
      <c r="C3342" t="s">
        <v>10525</v>
      </c>
      <c r="D3342" t="s">
        <v>10526</v>
      </c>
      <c r="E3342" t="s">
        <v>1912</v>
      </c>
      <c r="F3342" t="s">
        <v>24</v>
      </c>
      <c r="G3342" t="s">
        <v>17</v>
      </c>
      <c r="H3342">
        <f>43160*(1.01^10)</f>
        <v>47675.490932747598</v>
      </c>
      <c r="I3342">
        <f>164863*(1.01^10)</f>
        <v>182111.31746166744</v>
      </c>
      <c r="J3342" t="s">
        <v>10527</v>
      </c>
      <c r="K3342">
        <f t="shared" si="52"/>
        <v>417.04205569982969</v>
      </c>
    </row>
    <row r="3343" spans="1:11" x14ac:dyDescent="0.2">
      <c r="A3343" t="s">
        <v>796</v>
      </c>
      <c r="B3343" t="s">
        <v>1024</v>
      </c>
      <c r="C3343" t="s">
        <v>10528</v>
      </c>
      <c r="D3343" t="s">
        <v>10529</v>
      </c>
      <c r="E3343" t="s">
        <v>1944</v>
      </c>
      <c r="F3343" t="s">
        <v>12</v>
      </c>
      <c r="G3343" t="s">
        <v>12</v>
      </c>
      <c r="H3343">
        <f>33746*(1.01^10)</f>
        <v>37276.578244126518</v>
      </c>
      <c r="I3343">
        <f>147447*(1.01^10)</f>
        <v>162873.21852550592</v>
      </c>
      <c r="J3343" t="s">
        <v>10530</v>
      </c>
      <c r="K3343">
        <f t="shared" si="52"/>
        <v>477.54771052103359</v>
      </c>
    </row>
    <row r="3344" spans="1:11" x14ac:dyDescent="0.2">
      <c r="A3344" t="s">
        <v>796</v>
      </c>
      <c r="B3344" t="s">
        <v>1024</v>
      </c>
      <c r="C3344" t="s">
        <v>10531</v>
      </c>
      <c r="D3344" t="s">
        <v>10532</v>
      </c>
      <c r="E3344" t="s">
        <v>368</v>
      </c>
      <c r="F3344" t="s">
        <v>12</v>
      </c>
      <c r="G3344" t="s">
        <v>12</v>
      </c>
      <c r="H3344">
        <f>35801*(1.01^10)</f>
        <v>39546.576711846545</v>
      </c>
      <c r="I3344">
        <f>164249*(1.01^10)</f>
        <v>181433.07947666498</v>
      </c>
      <c r="J3344" t="s">
        <v>10533</v>
      </c>
      <c r="K3344">
        <f t="shared" si="52"/>
        <v>402.6657825631678</v>
      </c>
    </row>
    <row r="3345" spans="1:11" x14ac:dyDescent="0.2">
      <c r="A3345" t="s">
        <v>796</v>
      </c>
      <c r="B3345" t="s">
        <v>955</v>
      </c>
      <c r="C3345" t="s">
        <v>10534</v>
      </c>
      <c r="D3345" t="s">
        <v>10535</v>
      </c>
      <c r="E3345" t="s">
        <v>879</v>
      </c>
      <c r="F3345" t="s">
        <v>24</v>
      </c>
      <c r="G3345" t="s">
        <v>12</v>
      </c>
      <c r="H3345">
        <f>34141*(1.01^10)</f>
        <v>37712.903983663942</v>
      </c>
      <c r="I3345">
        <f>134135*(1.01^10)</f>
        <v>148168.48879203195</v>
      </c>
      <c r="J3345" t="s">
        <v>10536</v>
      </c>
      <c r="K3345">
        <f t="shared" si="52"/>
        <v>190.42345301636286</v>
      </c>
    </row>
    <row r="3346" spans="1:11" x14ac:dyDescent="0.2">
      <c r="A3346" t="s">
        <v>796</v>
      </c>
      <c r="B3346" t="s">
        <v>955</v>
      </c>
      <c r="C3346" t="s">
        <v>10537</v>
      </c>
      <c r="D3346" t="s">
        <v>10538</v>
      </c>
      <c r="E3346" t="s">
        <v>484</v>
      </c>
      <c r="F3346" t="s">
        <v>24</v>
      </c>
      <c r="G3346" t="s">
        <v>24</v>
      </c>
      <c r="H3346">
        <f>30970*(1.01^10)</f>
        <v>34210.147223985012</v>
      </c>
      <c r="I3346">
        <f>116804*(1.01^10)</f>
        <v>129024.28273653035</v>
      </c>
      <c r="J3346" t="s">
        <v>10539</v>
      </c>
      <c r="K3346">
        <f t="shared" si="52"/>
        <v>186.90466998890452</v>
      </c>
    </row>
    <row r="3347" spans="1:11" x14ac:dyDescent="0.2">
      <c r="A3347" t="s">
        <v>796</v>
      </c>
      <c r="B3347" t="s">
        <v>955</v>
      </c>
      <c r="C3347" t="s">
        <v>10540</v>
      </c>
      <c r="D3347" t="s">
        <v>10541</v>
      </c>
      <c r="E3347" t="s">
        <v>91</v>
      </c>
      <c r="F3347" t="s">
        <v>24</v>
      </c>
      <c r="G3347" t="s">
        <v>12</v>
      </c>
      <c r="H3347">
        <f>22618*(1.01^10)</f>
        <v>24984.343232550629</v>
      </c>
      <c r="I3347">
        <f>85481*(1.01^10)</f>
        <v>94424.2039022752</v>
      </c>
      <c r="J3347" t="s">
        <v>10542</v>
      </c>
      <c r="K3347">
        <f t="shared" si="52"/>
        <v>185.232666161086</v>
      </c>
    </row>
    <row r="3348" spans="1:11" x14ac:dyDescent="0.2">
      <c r="A3348" t="s">
        <v>796</v>
      </c>
      <c r="B3348" t="s">
        <v>955</v>
      </c>
      <c r="C3348" t="s">
        <v>10543</v>
      </c>
      <c r="D3348" t="s">
        <v>10544</v>
      </c>
      <c r="E3348" t="s">
        <v>2392</v>
      </c>
      <c r="F3348" t="s">
        <v>744</v>
      </c>
      <c r="G3348" t="s">
        <v>12</v>
      </c>
      <c r="H3348">
        <f>63978*(1.01^10)</f>
        <v>70671.514339558053</v>
      </c>
      <c r="I3348">
        <f>274859*(1.01^10)</f>
        <v>303615.33276839834</v>
      </c>
      <c r="J3348" t="s">
        <v>10545</v>
      </c>
      <c r="K3348">
        <f t="shared" si="52"/>
        <v>184.84271574163478</v>
      </c>
    </row>
    <row r="3349" spans="1:11" x14ac:dyDescent="0.2">
      <c r="A3349" t="s">
        <v>796</v>
      </c>
      <c r="B3349" t="s">
        <v>955</v>
      </c>
      <c r="C3349" t="s">
        <v>10546</v>
      </c>
      <c r="D3349" t="s">
        <v>10547</v>
      </c>
      <c r="E3349" t="s">
        <v>2410</v>
      </c>
      <c r="F3349" t="s">
        <v>24</v>
      </c>
      <c r="G3349" t="s">
        <v>17</v>
      </c>
      <c r="H3349">
        <f>54987*(1.01^10)</f>
        <v>60739.856809985919</v>
      </c>
      <c r="I3349">
        <f>228358*(1.01^10)</f>
        <v>252249.2993146519</v>
      </c>
      <c r="J3349" t="s">
        <v>10548</v>
      </c>
      <c r="K3349">
        <f t="shared" si="52"/>
        <v>218.26036377712848</v>
      </c>
    </row>
    <row r="3350" spans="1:11" x14ac:dyDescent="0.2">
      <c r="A3350" t="s">
        <v>796</v>
      </c>
      <c r="B3350" t="s">
        <v>955</v>
      </c>
      <c r="C3350" t="s">
        <v>10549</v>
      </c>
      <c r="D3350" t="s">
        <v>10550</v>
      </c>
      <c r="E3350" t="s">
        <v>5905</v>
      </c>
      <c r="F3350" t="s">
        <v>445</v>
      </c>
      <c r="G3350" t="s">
        <v>12</v>
      </c>
      <c r="H3350">
        <f>55751*(1.01^10)</f>
        <v>61583.788113800074</v>
      </c>
      <c r="I3350">
        <f>249229*(1.01^10)</f>
        <v>275303.86769410915</v>
      </c>
      <c r="J3350" t="s">
        <v>10551</v>
      </c>
      <c r="K3350">
        <f t="shared" si="52"/>
        <v>397.57358455578697</v>
      </c>
    </row>
    <row r="3351" spans="1:11" x14ac:dyDescent="0.2">
      <c r="A3351" t="s">
        <v>796</v>
      </c>
      <c r="B3351" t="s">
        <v>955</v>
      </c>
      <c r="C3351" t="s">
        <v>10552</v>
      </c>
      <c r="D3351" t="s">
        <v>10553</v>
      </c>
      <c r="E3351" t="s">
        <v>413</v>
      </c>
      <c r="F3351" t="s">
        <v>24</v>
      </c>
      <c r="G3351" t="s">
        <v>17</v>
      </c>
      <c r="H3351">
        <f>37988*(1.01^10)</f>
        <v>41962.385300120848</v>
      </c>
      <c r="I3351">
        <f>177619*(1.01^10)</f>
        <v>196201.87729341278</v>
      </c>
      <c r="J3351" t="s">
        <v>10554</v>
      </c>
      <c r="K3351">
        <f t="shared" si="52"/>
        <v>464.19140674414206</v>
      </c>
    </row>
    <row r="3352" spans="1:11" x14ac:dyDescent="0.2">
      <c r="A3352" t="s">
        <v>796</v>
      </c>
      <c r="B3352" t="s">
        <v>955</v>
      </c>
      <c r="C3352" t="s">
        <v>10555</v>
      </c>
      <c r="D3352" t="s">
        <v>10556</v>
      </c>
      <c r="E3352" t="s">
        <v>705</v>
      </c>
      <c r="F3352" t="s">
        <v>17</v>
      </c>
      <c r="G3352" t="s">
        <v>17</v>
      </c>
      <c r="H3352">
        <f>62241*(1.01^10)</f>
        <v>68752.785707718795</v>
      </c>
      <c r="I3352">
        <f>297724*(1.01^10)</f>
        <v>328872.51766592549</v>
      </c>
      <c r="J3352" t="s">
        <v>10557</v>
      </c>
      <c r="K3352">
        <f t="shared" si="52"/>
        <v>460.37808663294493</v>
      </c>
    </row>
    <row r="3353" spans="1:11" x14ac:dyDescent="0.2">
      <c r="A3353" t="s">
        <v>796</v>
      </c>
      <c r="B3353" t="s">
        <v>955</v>
      </c>
      <c r="C3353" t="s">
        <v>10558</v>
      </c>
      <c r="D3353" t="s">
        <v>1536</v>
      </c>
      <c r="E3353" t="s">
        <v>498</v>
      </c>
      <c r="F3353" t="s">
        <v>24</v>
      </c>
      <c r="G3353" t="s">
        <v>6</v>
      </c>
      <c r="H3353">
        <f>137863*(1.01^10)</f>
        <v>152286.52007556491</v>
      </c>
      <c r="I3353">
        <f>644928*(1.01^10)</f>
        <v>712401.73809719749</v>
      </c>
      <c r="J3353" t="s">
        <v>10559</v>
      </c>
      <c r="K3353">
        <f t="shared" si="52"/>
        <v>1588.7189684259629</v>
      </c>
    </row>
    <row r="3354" spans="1:11" x14ac:dyDescent="0.2">
      <c r="A3354" t="s">
        <v>796</v>
      </c>
      <c r="B3354" t="s">
        <v>955</v>
      </c>
      <c r="C3354" t="s">
        <v>10560</v>
      </c>
      <c r="D3354" t="s">
        <v>10561</v>
      </c>
      <c r="E3354" t="s">
        <v>809</v>
      </c>
      <c r="F3354" t="s">
        <v>17</v>
      </c>
      <c r="G3354" t="s">
        <v>12</v>
      </c>
      <c r="H3354">
        <f>66739*(1.01^10)</f>
        <v>73721.376027818391</v>
      </c>
      <c r="I3354">
        <f>297726*(1.01^10)</f>
        <v>328874.72691017634</v>
      </c>
      <c r="J3354" t="s">
        <v>10562</v>
      </c>
      <c r="K3354">
        <f t="shared" si="52"/>
        <v>385.12683135917348</v>
      </c>
    </row>
    <row r="3355" spans="1:11" x14ac:dyDescent="0.2">
      <c r="A3355" t="s">
        <v>796</v>
      </c>
      <c r="B3355" t="s">
        <v>955</v>
      </c>
      <c r="C3355" t="s">
        <v>10563</v>
      </c>
      <c r="D3355" t="s">
        <v>10564</v>
      </c>
      <c r="E3355" t="s">
        <v>484</v>
      </c>
      <c r="F3355" t="s">
        <v>17</v>
      </c>
      <c r="G3355" t="s">
        <v>17</v>
      </c>
      <c r="H3355">
        <f>33546*(1.01^10)</f>
        <v>37055.653819044273</v>
      </c>
      <c r="I3355">
        <f>156766*(1.01^10)</f>
        <v>173167.19211221291</v>
      </c>
      <c r="J3355" t="s">
        <v>10565</v>
      </c>
      <c r="K3355">
        <f t="shared" si="52"/>
        <v>476.13458557305063</v>
      </c>
    </row>
    <row r="3356" spans="1:11" x14ac:dyDescent="0.2">
      <c r="A3356" t="s">
        <v>796</v>
      </c>
      <c r="B3356" t="s">
        <v>2099</v>
      </c>
      <c r="C3356" t="s">
        <v>10566</v>
      </c>
      <c r="D3356" t="s">
        <v>10567</v>
      </c>
      <c r="E3356" t="s">
        <v>385</v>
      </c>
      <c r="F3356" t="s">
        <v>12</v>
      </c>
      <c r="G3356" t="s">
        <v>17</v>
      </c>
      <c r="H3356">
        <f>49564*(1.01^10)</f>
        <v>54749.491023880953</v>
      </c>
      <c r="I3356">
        <f>227231*(1.01^10)</f>
        <v>251004.39017931346</v>
      </c>
      <c r="J3356" t="s">
        <v>10568</v>
      </c>
      <c r="K3356">
        <f t="shared" si="52"/>
        <v>391.53702350013555</v>
      </c>
    </row>
    <row r="3357" spans="1:11" x14ac:dyDescent="0.2">
      <c r="A3357" t="s">
        <v>796</v>
      </c>
      <c r="B3357" t="s">
        <v>2099</v>
      </c>
      <c r="C3357" t="s">
        <v>10569</v>
      </c>
      <c r="D3357" t="s">
        <v>10570</v>
      </c>
      <c r="E3357" t="s">
        <v>6857</v>
      </c>
      <c r="F3357" t="s">
        <v>220</v>
      </c>
      <c r="G3357" t="s">
        <v>12</v>
      </c>
      <c r="H3357">
        <f>43374*(1.01^10)</f>
        <v>47911.880067585596</v>
      </c>
      <c r="I3357">
        <f>187121*(1.01^10)</f>
        <v>206697.99672907003</v>
      </c>
      <c r="J3357" t="s">
        <v>10571</v>
      </c>
      <c r="K3357">
        <f t="shared" si="52"/>
        <v>109.97350158496459</v>
      </c>
    </row>
    <row r="3358" spans="1:11" x14ac:dyDescent="0.2">
      <c r="A3358" t="s">
        <v>796</v>
      </c>
      <c r="B3358" t="s">
        <v>2099</v>
      </c>
      <c r="C3358" t="s">
        <v>10572</v>
      </c>
      <c r="D3358" t="s">
        <v>10573</v>
      </c>
      <c r="E3358" t="s">
        <v>236</v>
      </c>
      <c r="F3358" t="s">
        <v>405</v>
      </c>
      <c r="G3358" t="s">
        <v>12</v>
      </c>
      <c r="H3358">
        <f>31696*(1.01^10)</f>
        <v>35012.102887033543</v>
      </c>
      <c r="I3358">
        <f>152238*(1.01^10)</f>
        <v>168165.463128351</v>
      </c>
      <c r="J3358" t="s">
        <v>10574</v>
      </c>
      <c r="K3358">
        <f t="shared" si="52"/>
        <v>295.52052134534915</v>
      </c>
    </row>
    <row r="3359" spans="1:11" x14ac:dyDescent="0.2">
      <c r="A3359" t="s">
        <v>796</v>
      </c>
      <c r="B3359" t="s">
        <v>2099</v>
      </c>
      <c r="C3359" t="s">
        <v>10575</v>
      </c>
      <c r="D3359" t="s">
        <v>10576</v>
      </c>
      <c r="E3359" t="s">
        <v>966</v>
      </c>
      <c r="F3359" t="s">
        <v>744</v>
      </c>
      <c r="G3359" t="s">
        <v>17</v>
      </c>
      <c r="H3359">
        <f>53812*(1.01^10)</f>
        <v>59441.925812627749</v>
      </c>
      <c r="I3359">
        <f>255936*(1.01^10)</f>
        <v>282712.5682892421</v>
      </c>
      <c r="J3359" t="s">
        <v>10577</v>
      </c>
      <c r="K3359">
        <f t="shared" si="52"/>
        <v>246.83471744955455</v>
      </c>
    </row>
    <row r="3360" spans="1:11" x14ac:dyDescent="0.2">
      <c r="A3360" t="s">
        <v>796</v>
      </c>
      <c r="B3360" t="s">
        <v>10578</v>
      </c>
      <c r="C3360" t="s">
        <v>10579</v>
      </c>
      <c r="D3360" t="s">
        <v>10580</v>
      </c>
      <c r="E3360" t="s">
        <v>698</v>
      </c>
      <c r="F3360" t="s">
        <v>520</v>
      </c>
      <c r="G3360" t="s">
        <v>17</v>
      </c>
      <c r="H3360">
        <f>36726*(1.01^10)</f>
        <v>40568.352177851906</v>
      </c>
      <c r="I3360">
        <f>176222*(1.01^10)</f>
        <v>194658.72018421334</v>
      </c>
      <c r="J3360" t="s">
        <v>10581</v>
      </c>
      <c r="K3360">
        <f t="shared" si="52"/>
        <v>145.05586888625697</v>
      </c>
    </row>
    <row r="3361" spans="1:11" x14ac:dyDescent="0.2">
      <c r="A3361" t="s">
        <v>796</v>
      </c>
      <c r="B3361" t="s">
        <v>10578</v>
      </c>
      <c r="C3361" t="s">
        <v>10582</v>
      </c>
      <c r="D3361" t="s">
        <v>10583</v>
      </c>
      <c r="E3361" t="s">
        <v>507</v>
      </c>
      <c r="F3361" t="s">
        <v>152</v>
      </c>
      <c r="G3361" t="s">
        <v>12</v>
      </c>
      <c r="H3361">
        <f>38794*(1.01^10)</f>
        <v>42852.710733202279</v>
      </c>
      <c r="I3361">
        <f>192222*(1.01^10)</f>
        <v>212332.6741907926</v>
      </c>
      <c r="J3361" t="s">
        <v>10584</v>
      </c>
      <c r="K3361">
        <f t="shared" si="52"/>
        <v>214.1591070938623</v>
      </c>
    </row>
    <row r="3362" spans="1:11" x14ac:dyDescent="0.2">
      <c r="A3362" t="s">
        <v>796</v>
      </c>
      <c r="B3362" t="s">
        <v>10578</v>
      </c>
      <c r="C3362" t="s">
        <v>10585</v>
      </c>
      <c r="D3362" t="s">
        <v>10586</v>
      </c>
      <c r="E3362" t="s">
        <v>123</v>
      </c>
      <c r="F3362" t="s">
        <v>17</v>
      </c>
      <c r="G3362" t="s">
        <v>12</v>
      </c>
      <c r="H3362">
        <f>43194*(1.01^10)</f>
        <v>47713.048085011578</v>
      </c>
      <c r="I3362">
        <f>208117*(1.01^10)</f>
        <v>229890.64287420371</v>
      </c>
      <c r="J3362" t="s">
        <v>10587</v>
      </c>
      <c r="K3362">
        <f t="shared" si="52"/>
        <v>220.01662861344334</v>
      </c>
    </row>
    <row r="3363" spans="1:11" x14ac:dyDescent="0.2">
      <c r="A3363" t="s">
        <v>796</v>
      </c>
      <c r="B3363" t="s">
        <v>10578</v>
      </c>
      <c r="C3363" t="s">
        <v>10588</v>
      </c>
      <c r="D3363" t="s">
        <v>10589</v>
      </c>
      <c r="E3363" t="s">
        <v>2410</v>
      </c>
      <c r="F3363" t="s">
        <v>24</v>
      </c>
      <c r="G3363" t="s">
        <v>12</v>
      </c>
      <c r="H3363">
        <f>76395*(1.01^10)</f>
        <v>84387.607270788983</v>
      </c>
      <c r="I3363">
        <f>363352*(1.01^10)</f>
        <v>401366.65851241205</v>
      </c>
      <c r="J3363" t="s">
        <v>10590</v>
      </c>
      <c r="K3363">
        <f t="shared" si="52"/>
        <v>538.54539733695992</v>
      </c>
    </row>
    <row r="3364" spans="1:11" x14ac:dyDescent="0.2">
      <c r="A3364" t="s">
        <v>796</v>
      </c>
      <c r="B3364" t="s">
        <v>10578</v>
      </c>
      <c r="C3364" t="s">
        <v>10591</v>
      </c>
      <c r="D3364" t="s">
        <v>10592</v>
      </c>
      <c r="E3364" t="s">
        <v>493</v>
      </c>
      <c r="F3364" t="s">
        <v>17</v>
      </c>
      <c r="G3364" t="s">
        <v>12</v>
      </c>
      <c r="H3364">
        <f>35843*(1.01^10)</f>
        <v>39592.970841113813</v>
      </c>
      <c r="I3364">
        <f>178506*(1.01^10)</f>
        <v>197181.6771186525</v>
      </c>
      <c r="J3364" t="s">
        <v>10593</v>
      </c>
      <c r="K3364">
        <f t="shared" si="52"/>
        <v>192.96584604573198</v>
      </c>
    </row>
    <row r="3365" spans="1:11" x14ac:dyDescent="0.2">
      <c r="A3365" t="s">
        <v>796</v>
      </c>
      <c r="B3365" t="s">
        <v>10578</v>
      </c>
      <c r="C3365" t="s">
        <v>10594</v>
      </c>
      <c r="D3365" t="s">
        <v>10595</v>
      </c>
      <c r="E3365" t="s">
        <v>1303</v>
      </c>
      <c r="F3365" t="s">
        <v>11</v>
      </c>
      <c r="G3365" t="s">
        <v>12</v>
      </c>
      <c r="H3365">
        <f>28259*(1.01^10)</f>
        <v>31215.516641995237</v>
      </c>
      <c r="I3365">
        <f>134767*(1.01^10)</f>
        <v>148866.60997529182</v>
      </c>
      <c r="J3365" t="s">
        <v>10596</v>
      </c>
      <c r="K3365">
        <f t="shared" si="52"/>
        <v>343.09393169020524</v>
      </c>
    </row>
    <row r="3366" spans="1:11" x14ac:dyDescent="0.2">
      <c r="A3366" t="s">
        <v>796</v>
      </c>
      <c r="B3366" t="s">
        <v>10578</v>
      </c>
      <c r="C3366" t="s">
        <v>10597</v>
      </c>
      <c r="D3366" t="s">
        <v>10598</v>
      </c>
      <c r="E3366" t="s">
        <v>809</v>
      </c>
      <c r="F3366" t="s">
        <v>24</v>
      </c>
      <c r="G3366" t="s">
        <v>24</v>
      </c>
      <c r="H3366">
        <f>18178*(1.01^10)</f>
        <v>20079.82099572488</v>
      </c>
      <c r="I3366">
        <f>86994*(1.01^10)</f>
        <v>96095.497178022342</v>
      </c>
      <c r="J3366" t="s">
        <v>10599</v>
      </c>
      <c r="K3366">
        <f t="shared" si="52"/>
        <v>120.41082886789805</v>
      </c>
    </row>
    <row r="3367" spans="1:11" x14ac:dyDescent="0.2">
      <c r="A3367" t="s">
        <v>796</v>
      </c>
      <c r="B3367" t="s">
        <v>10578</v>
      </c>
      <c r="C3367" t="s">
        <v>10600</v>
      </c>
      <c r="D3367" t="s">
        <v>5165</v>
      </c>
      <c r="E3367" t="s">
        <v>1115</v>
      </c>
      <c r="F3367" t="s">
        <v>12</v>
      </c>
      <c r="G3367" t="s">
        <v>24</v>
      </c>
      <c r="H3367">
        <f>17985*(1.01^10)</f>
        <v>19866.628925520516</v>
      </c>
      <c r="I3367">
        <f>88619*(1.01^10)</f>
        <v>97890.508131815557</v>
      </c>
      <c r="J3367" t="s">
        <v>10601</v>
      </c>
      <c r="K3367">
        <f t="shared" si="52"/>
        <v>85.818852513753555</v>
      </c>
    </row>
    <row r="3368" spans="1:11" x14ac:dyDescent="0.2">
      <c r="A3368" t="s">
        <v>796</v>
      </c>
      <c r="B3368" t="s">
        <v>10578</v>
      </c>
      <c r="C3368" t="s">
        <v>10602</v>
      </c>
      <c r="D3368" t="s">
        <v>10603</v>
      </c>
      <c r="E3368" t="s">
        <v>413</v>
      </c>
      <c r="F3368" t="s">
        <v>11</v>
      </c>
      <c r="G3368" t="s">
        <v>12</v>
      </c>
      <c r="H3368">
        <f>23114*(1.01^10)</f>
        <v>25532.235806754587</v>
      </c>
      <c r="I3368">
        <f>108334*(1.01^10)</f>
        <v>119668.13333429745</v>
      </c>
      <c r="J3368" t="s">
        <v>10604</v>
      </c>
      <c r="K3368">
        <f t="shared" si="52"/>
        <v>216.81219127620597</v>
      </c>
    </row>
    <row r="3369" spans="1:11" x14ac:dyDescent="0.2">
      <c r="A3369" t="s">
        <v>796</v>
      </c>
      <c r="B3369" t="s">
        <v>3178</v>
      </c>
      <c r="C3369" t="s">
        <v>10605</v>
      </c>
      <c r="D3369" t="s">
        <v>10514</v>
      </c>
      <c r="E3369" t="s">
        <v>128</v>
      </c>
      <c r="F3369" t="s">
        <v>24</v>
      </c>
      <c r="G3369" t="s">
        <v>17</v>
      </c>
      <c r="H3369">
        <f>41732*(1.01^10)</f>
        <v>46098.090537660399</v>
      </c>
      <c r="I3369">
        <f>197081*(1.01^10)</f>
        <v>217700.03309816564</v>
      </c>
      <c r="J3369" t="s">
        <v>10606</v>
      </c>
      <c r="K3369">
        <f t="shared" si="52"/>
        <v>348.3107029141521</v>
      </c>
    </row>
    <row r="3370" spans="1:11" x14ac:dyDescent="0.2">
      <c r="A3370" t="s">
        <v>796</v>
      </c>
      <c r="B3370" t="s">
        <v>3178</v>
      </c>
      <c r="C3370" t="s">
        <v>10607</v>
      </c>
      <c r="D3370" t="s">
        <v>10608</v>
      </c>
      <c r="E3370" t="s">
        <v>236</v>
      </c>
      <c r="F3370" t="s">
        <v>24</v>
      </c>
      <c r="G3370" t="s">
        <v>12</v>
      </c>
      <c r="H3370">
        <f>41731*(1.01^10)</f>
        <v>46096.985915534984</v>
      </c>
      <c r="I3370">
        <f>215624*(1.01^10)</f>
        <v>238183.04116966561</v>
      </c>
      <c r="J3370" t="s">
        <v>10609</v>
      </c>
      <c r="K3370">
        <f t="shared" si="52"/>
        <v>324.93234893628943</v>
      </c>
    </row>
    <row r="3371" spans="1:11" x14ac:dyDescent="0.2">
      <c r="A3371" t="s">
        <v>796</v>
      </c>
      <c r="B3371" t="s">
        <v>3178</v>
      </c>
      <c r="C3371" t="s">
        <v>10610</v>
      </c>
      <c r="D3371" t="s">
        <v>10611</v>
      </c>
      <c r="E3371" t="s">
        <v>1944</v>
      </c>
      <c r="F3371" t="s">
        <v>12</v>
      </c>
      <c r="G3371" t="s">
        <v>11</v>
      </c>
      <c r="H3371">
        <f>23555*(1.01^10)</f>
        <v>26019.37416406093</v>
      </c>
      <c r="I3371">
        <f>117486*(1.01^10)</f>
        <v>129777.6350260608</v>
      </c>
      <c r="J3371" t="s">
        <v>10612</v>
      </c>
      <c r="K3371">
        <f t="shared" si="52"/>
        <v>252.95574959813646</v>
      </c>
    </row>
    <row r="3372" spans="1:11" x14ac:dyDescent="0.2">
      <c r="A3372" t="s">
        <v>796</v>
      </c>
      <c r="B3372" t="s">
        <v>3178</v>
      </c>
      <c r="C3372" t="s">
        <v>10613</v>
      </c>
      <c r="D3372" t="s">
        <v>10614</v>
      </c>
      <c r="E3372" t="s">
        <v>168</v>
      </c>
      <c r="F3372" t="s">
        <v>24</v>
      </c>
      <c r="G3372" t="s">
        <v>12</v>
      </c>
      <c r="H3372">
        <f>15138*(1.01^10)</f>
        <v>16721.769734474816</v>
      </c>
      <c r="I3372">
        <f>78192*(1.01^10)</f>
        <v>86372.613230152929</v>
      </c>
      <c r="J3372" t="s">
        <v>10615</v>
      </c>
      <c r="K3372">
        <f t="shared" si="52"/>
        <v>401.68211904252263</v>
      </c>
    </row>
    <row r="3373" spans="1:11" x14ac:dyDescent="0.2">
      <c r="A3373" t="s">
        <v>796</v>
      </c>
      <c r="B3373" t="s">
        <v>3178</v>
      </c>
      <c r="C3373" t="s">
        <v>10616</v>
      </c>
      <c r="D3373" t="s">
        <v>10617</v>
      </c>
      <c r="E3373" t="s">
        <v>390</v>
      </c>
      <c r="F3373" t="s">
        <v>5</v>
      </c>
      <c r="G3373" t="s">
        <v>12</v>
      </c>
      <c r="H3373">
        <f>36612*(1.01^10)</f>
        <v>40442.425255555027</v>
      </c>
      <c r="I3373">
        <f>187376*(1.01^10)</f>
        <v>206979.6753710499</v>
      </c>
      <c r="J3373" t="s">
        <v>10618</v>
      </c>
      <c r="K3373">
        <f t="shared" si="52"/>
        <v>266.17526004089217</v>
      </c>
    </row>
    <row r="3374" spans="1:11" x14ac:dyDescent="0.2">
      <c r="A3374" t="s">
        <v>796</v>
      </c>
      <c r="B3374" t="s">
        <v>3178</v>
      </c>
      <c r="C3374" t="s">
        <v>10619</v>
      </c>
      <c r="D3374" t="s">
        <v>10620</v>
      </c>
      <c r="E3374" t="s">
        <v>2410</v>
      </c>
      <c r="F3374" t="s">
        <v>24</v>
      </c>
      <c r="G3374" t="s">
        <v>11</v>
      </c>
      <c r="H3374">
        <f>56046*(1.01^10)</f>
        <v>61909.651640796379</v>
      </c>
      <c r="I3374">
        <f>269990*(1.01^10)</f>
        <v>298236.92763977119</v>
      </c>
      <c r="J3374" t="s">
        <v>10621</v>
      </c>
      <c r="K3374">
        <f t="shared" si="52"/>
        <v>335.72254921075728</v>
      </c>
    </row>
    <row r="3375" spans="1:11" x14ac:dyDescent="0.2">
      <c r="A3375" t="s">
        <v>796</v>
      </c>
      <c r="B3375" t="s">
        <v>3178</v>
      </c>
      <c r="C3375" t="s">
        <v>10622</v>
      </c>
      <c r="D3375" t="s">
        <v>10623</v>
      </c>
      <c r="E3375" t="s">
        <v>410</v>
      </c>
      <c r="F3375" t="s">
        <v>24</v>
      </c>
      <c r="G3375" t="s">
        <v>5</v>
      </c>
      <c r="H3375">
        <f>242348*(1.01^10)</f>
        <v>267702.96284915466</v>
      </c>
      <c r="I3375">
        <f>1126731*(1.01^10)</f>
        <v>1244611.9919866922</v>
      </c>
      <c r="J3375" t="s">
        <v>10624</v>
      </c>
      <c r="K3375">
        <f t="shared" si="52"/>
        <v>1946.4562496808317</v>
      </c>
    </row>
    <row r="3376" spans="1:11" x14ac:dyDescent="0.2">
      <c r="A3376" t="s">
        <v>796</v>
      </c>
      <c r="B3376" t="s">
        <v>3178</v>
      </c>
      <c r="C3376" t="s">
        <v>10625</v>
      </c>
      <c r="D3376" t="s">
        <v>8573</v>
      </c>
      <c r="E3376" t="s">
        <v>703</v>
      </c>
      <c r="F3376" t="s">
        <v>24</v>
      </c>
      <c r="G3376" t="s">
        <v>17</v>
      </c>
      <c r="H3376">
        <f>69076*(1.01^10)</f>
        <v>76302.877934904376</v>
      </c>
      <c r="I3376">
        <f>325227*(1.01^10)</f>
        <v>359252.93998110987</v>
      </c>
      <c r="J3376" t="s">
        <v>10626</v>
      </c>
      <c r="K3376">
        <f t="shared" si="52"/>
        <v>466.2491989209127</v>
      </c>
    </row>
    <row r="3377" spans="1:11" x14ac:dyDescent="0.2">
      <c r="A3377" t="s">
        <v>796</v>
      </c>
      <c r="B3377" t="s">
        <v>3178</v>
      </c>
      <c r="C3377" t="s">
        <v>10627</v>
      </c>
      <c r="D3377" t="s">
        <v>10628</v>
      </c>
      <c r="E3377" t="s">
        <v>1525</v>
      </c>
      <c r="F3377" t="s">
        <v>24</v>
      </c>
      <c r="G3377" t="s">
        <v>17</v>
      </c>
      <c r="H3377">
        <f>42188*(1.01^10)</f>
        <v>46601.798226847903</v>
      </c>
      <c r="I3377">
        <f>204752*(1.01^10)</f>
        <v>226173.58942219499</v>
      </c>
      <c r="J3377" t="s">
        <v>10629</v>
      </c>
      <c r="K3377">
        <f t="shared" si="52"/>
        <v>329.89337706176877</v>
      </c>
    </row>
    <row r="3378" spans="1:11" x14ac:dyDescent="0.2">
      <c r="A3378" t="s">
        <v>796</v>
      </c>
      <c r="B3378" t="s">
        <v>3178</v>
      </c>
      <c r="C3378" t="s">
        <v>10630</v>
      </c>
      <c r="D3378" t="s">
        <v>10631</v>
      </c>
      <c r="E3378" t="s">
        <v>608</v>
      </c>
      <c r="F3378" t="s">
        <v>158</v>
      </c>
      <c r="G3378" t="s">
        <v>12</v>
      </c>
      <c r="H3378">
        <f>40602*(1.01^10)</f>
        <v>44849.867535945734</v>
      </c>
      <c r="I3378">
        <f>197411*(1.01^10)</f>
        <v>218064.55839955134</v>
      </c>
      <c r="J3378" t="s">
        <v>10632</v>
      </c>
      <c r="K3378">
        <f t="shared" si="52"/>
        <v>228.62430133858783</v>
      </c>
    </row>
    <row r="3379" spans="1:11" x14ac:dyDescent="0.2">
      <c r="A3379" t="s">
        <v>796</v>
      </c>
      <c r="B3379" t="s">
        <v>3178</v>
      </c>
      <c r="C3379" t="s">
        <v>10633</v>
      </c>
      <c r="D3379" t="s">
        <v>10634</v>
      </c>
      <c r="E3379" t="s">
        <v>1060</v>
      </c>
      <c r="F3379" t="s">
        <v>12</v>
      </c>
      <c r="G3379" t="s">
        <v>12</v>
      </c>
      <c r="H3379">
        <f>27370*(1.01^10)</f>
        <v>30233.507572504674</v>
      </c>
      <c r="I3379">
        <f>125407*(1.01^10)</f>
        <v>138527.34688144297</v>
      </c>
      <c r="J3379" t="s">
        <v>10635</v>
      </c>
      <c r="K3379">
        <f t="shared" si="52"/>
        <v>414.96441346420261</v>
      </c>
    </row>
    <row r="3380" spans="1:11" x14ac:dyDescent="0.2">
      <c r="A3380" t="s">
        <v>796</v>
      </c>
      <c r="B3380" t="s">
        <v>3178</v>
      </c>
      <c r="C3380" t="s">
        <v>10636</v>
      </c>
      <c r="D3380" t="s">
        <v>10637</v>
      </c>
      <c r="E3380" t="s">
        <v>436</v>
      </c>
      <c r="F3380" t="s">
        <v>24</v>
      </c>
      <c r="G3380" t="s">
        <v>11</v>
      </c>
      <c r="H3380">
        <f>35376*(1.01^10)</f>
        <v>39077.112308546777</v>
      </c>
      <c r="I3380">
        <f>155370*(1.01^10)</f>
        <v>171625.13962513889</v>
      </c>
      <c r="J3380" t="s">
        <v>10638</v>
      </c>
      <c r="K3380">
        <f t="shared" si="52"/>
        <v>201.80625686765379</v>
      </c>
    </row>
    <row r="3381" spans="1:11" x14ac:dyDescent="0.2">
      <c r="A3381" t="s">
        <v>796</v>
      </c>
      <c r="B3381" t="s">
        <v>3178</v>
      </c>
      <c r="C3381" t="s">
        <v>10639</v>
      </c>
      <c r="D3381" t="s">
        <v>10640</v>
      </c>
      <c r="E3381" t="s">
        <v>560</v>
      </c>
      <c r="F3381" t="s">
        <v>24</v>
      </c>
      <c r="G3381" t="s">
        <v>12</v>
      </c>
      <c r="H3381">
        <f>29933*(1.01^10)</f>
        <v>33064.654079933593</v>
      </c>
      <c r="I3381">
        <f>143225*(1.01^10)</f>
        <v>158209.50391201981</v>
      </c>
      <c r="J3381" t="s">
        <v>10641</v>
      </c>
      <c r="K3381">
        <f t="shared" si="52"/>
        <v>288.01315029423938</v>
      </c>
    </row>
    <row r="3382" spans="1:11" x14ac:dyDescent="0.2">
      <c r="A3382" t="s">
        <v>796</v>
      </c>
      <c r="B3382" t="s">
        <v>2522</v>
      </c>
      <c r="C3382" t="s">
        <v>10642</v>
      </c>
      <c r="D3382" t="s">
        <v>10643</v>
      </c>
      <c r="E3382" t="s">
        <v>479</v>
      </c>
      <c r="F3382" t="s">
        <v>5</v>
      </c>
      <c r="G3382" t="s">
        <v>17</v>
      </c>
      <c r="H3382">
        <f>41888*(1.01^10)</f>
        <v>46270.411589224546</v>
      </c>
      <c r="I3382">
        <f>206021*(1.01^10)</f>
        <v>227575.35489934182</v>
      </c>
      <c r="J3382" t="s">
        <v>10644</v>
      </c>
      <c r="K3382">
        <f t="shared" si="52"/>
        <v>373.95812620487698</v>
      </c>
    </row>
    <row r="3383" spans="1:11" x14ac:dyDescent="0.2">
      <c r="A3383" t="s">
        <v>796</v>
      </c>
      <c r="B3383" t="s">
        <v>2522</v>
      </c>
      <c r="C3383" t="s">
        <v>10645</v>
      </c>
      <c r="D3383" t="s">
        <v>10646</v>
      </c>
      <c r="E3383" t="s">
        <v>1944</v>
      </c>
      <c r="F3383" t="s">
        <v>12</v>
      </c>
      <c r="G3383" t="s">
        <v>12</v>
      </c>
      <c r="H3383">
        <f>41482*(1.01^10)</f>
        <v>45821.935006307598</v>
      </c>
      <c r="I3383">
        <f>203295*(1.01^10)</f>
        <v>224564.15498547087</v>
      </c>
      <c r="J3383" t="s">
        <v>10647</v>
      </c>
      <c r="K3383">
        <f t="shared" si="52"/>
        <v>480.31667307780111</v>
      </c>
    </row>
    <row r="3384" spans="1:11" x14ac:dyDescent="0.2">
      <c r="A3384" t="s">
        <v>796</v>
      </c>
      <c r="B3384" t="s">
        <v>2522</v>
      </c>
      <c r="C3384" t="s">
        <v>10648</v>
      </c>
      <c r="D3384" t="s">
        <v>10649</v>
      </c>
      <c r="E3384" t="s">
        <v>1352</v>
      </c>
      <c r="F3384" t="s">
        <v>17</v>
      </c>
      <c r="G3384" t="s">
        <v>11</v>
      </c>
      <c r="H3384">
        <f>48514*(1.01^10)</f>
        <v>53589.637792199188</v>
      </c>
      <c r="I3384">
        <f>249728*(1.01^10)</f>
        <v>275855.07413468935</v>
      </c>
      <c r="J3384" t="s">
        <v>10650</v>
      </c>
      <c r="K3384">
        <f t="shared" si="52"/>
        <v>446.87875226279562</v>
      </c>
    </row>
    <row r="3385" spans="1:11" x14ac:dyDescent="0.2">
      <c r="A3385" t="s">
        <v>796</v>
      </c>
      <c r="B3385" t="s">
        <v>2522</v>
      </c>
      <c r="C3385" t="s">
        <v>10651</v>
      </c>
      <c r="D3385" t="s">
        <v>10652</v>
      </c>
      <c r="E3385" t="s">
        <v>390</v>
      </c>
      <c r="F3385" t="s">
        <v>24</v>
      </c>
      <c r="G3385" t="s">
        <v>12</v>
      </c>
      <c r="H3385">
        <f>40420*(1.01^10)</f>
        <v>44648.826309120894</v>
      </c>
      <c r="I3385">
        <f>202179*(1.01^10)</f>
        <v>223331.39669351195</v>
      </c>
      <c r="J3385" t="s">
        <v>10653</v>
      </c>
      <c r="K3385">
        <f t="shared" si="52"/>
        <v>376.40666513994859</v>
      </c>
    </row>
    <row r="3386" spans="1:11" x14ac:dyDescent="0.2">
      <c r="A3386" t="s">
        <v>796</v>
      </c>
      <c r="B3386" t="s">
        <v>2522</v>
      </c>
      <c r="C3386" t="s">
        <v>10654</v>
      </c>
      <c r="D3386" t="s">
        <v>10655</v>
      </c>
      <c r="E3386" t="s">
        <v>1994</v>
      </c>
      <c r="F3386" t="s">
        <v>5</v>
      </c>
      <c r="G3386" t="s">
        <v>17</v>
      </c>
      <c r="H3386">
        <f>47636*(1.01^10)</f>
        <v>52619.779566088153</v>
      </c>
      <c r="I3386">
        <f>217688*(1.01^10)</f>
        <v>240462.98123651434</v>
      </c>
      <c r="J3386" t="s">
        <v>10656</v>
      </c>
      <c r="K3386">
        <f t="shared" si="52"/>
        <v>144.40894630526762</v>
      </c>
    </row>
    <row r="3387" spans="1:11" x14ac:dyDescent="0.2">
      <c r="A3387" t="s">
        <v>796</v>
      </c>
      <c r="B3387" t="s">
        <v>2522</v>
      </c>
      <c r="C3387" t="s">
        <v>10657</v>
      </c>
      <c r="D3387" t="s">
        <v>10658</v>
      </c>
      <c r="E3387" t="s">
        <v>848</v>
      </c>
      <c r="F3387" t="s">
        <v>11</v>
      </c>
      <c r="G3387" t="s">
        <v>17</v>
      </c>
      <c r="H3387">
        <f>51195*(1.01^10)</f>
        <v>56551.129710426627</v>
      </c>
      <c r="I3387">
        <f>226432*(1.01^10)</f>
        <v>250121.7971011099</v>
      </c>
      <c r="J3387" t="s">
        <v>10659</v>
      </c>
      <c r="K3387">
        <f t="shared" si="52"/>
        <v>357.13128068171926</v>
      </c>
    </row>
    <row r="3388" spans="1:11" x14ac:dyDescent="0.2">
      <c r="A3388" t="s">
        <v>796</v>
      </c>
      <c r="B3388" t="s">
        <v>2522</v>
      </c>
      <c r="C3388" t="s">
        <v>10660</v>
      </c>
      <c r="D3388" t="s">
        <v>10661</v>
      </c>
      <c r="E3388" t="s">
        <v>1401</v>
      </c>
      <c r="F3388" t="s">
        <v>12</v>
      </c>
      <c r="G3388" t="s">
        <v>17</v>
      </c>
      <c r="H3388">
        <f>65354*(1.01^10)</f>
        <v>72191.474384123881</v>
      </c>
      <c r="I3388">
        <f>314489*(1.01^10)</f>
        <v>347391.50759844435</v>
      </c>
      <c r="J3388" t="s">
        <v>10662</v>
      </c>
      <c r="K3388">
        <f t="shared" si="52"/>
        <v>384.8952812711637</v>
      </c>
    </row>
    <row r="3389" spans="1:11" x14ac:dyDescent="0.2">
      <c r="A3389" t="s">
        <v>796</v>
      </c>
      <c r="B3389" t="s">
        <v>2522</v>
      </c>
      <c r="C3389" t="s">
        <v>10663</v>
      </c>
      <c r="D3389" t="s">
        <v>10664</v>
      </c>
      <c r="E3389" t="s">
        <v>1002</v>
      </c>
      <c r="F3389" t="s">
        <v>24</v>
      </c>
      <c r="G3389" t="s">
        <v>17</v>
      </c>
      <c r="H3389">
        <f>49182*(1.01^10)</f>
        <v>54327.525371973868</v>
      </c>
      <c r="I3389">
        <f>242089*(1.01^10)</f>
        <v>267416.86571867316</v>
      </c>
      <c r="J3389" t="s">
        <v>10665</v>
      </c>
      <c r="K3389">
        <f t="shared" si="52"/>
        <v>445.36459086600797</v>
      </c>
    </row>
    <row r="3390" spans="1:11" x14ac:dyDescent="0.2">
      <c r="A3390" t="s">
        <v>796</v>
      </c>
      <c r="B3390" t="s">
        <v>2522</v>
      </c>
      <c r="C3390" t="s">
        <v>10666</v>
      </c>
      <c r="D3390" t="s">
        <v>2354</v>
      </c>
      <c r="E3390" t="s">
        <v>337</v>
      </c>
      <c r="F3390" t="s">
        <v>12</v>
      </c>
      <c r="G3390" t="s">
        <v>92</v>
      </c>
      <c r="H3390">
        <f>288775*(1.01^10)</f>
        <v>318987.25426562066</v>
      </c>
      <c r="I3390">
        <f>1366141*(1.01^10)</f>
        <v>1509069.5750313886</v>
      </c>
      <c r="J3390" t="s">
        <v>10667</v>
      </c>
      <c r="K3390">
        <f t="shared" si="52"/>
        <v>2310.5151299994673</v>
      </c>
    </row>
    <row r="3391" spans="1:11" x14ac:dyDescent="0.2">
      <c r="A3391" t="s">
        <v>796</v>
      </c>
      <c r="B3391" t="s">
        <v>2522</v>
      </c>
      <c r="C3391" t="s">
        <v>10668</v>
      </c>
      <c r="D3391" t="s">
        <v>10669</v>
      </c>
      <c r="E3391" t="s">
        <v>148</v>
      </c>
      <c r="F3391" t="s">
        <v>24</v>
      </c>
      <c r="G3391" t="s">
        <v>17</v>
      </c>
      <c r="H3391">
        <f>36982*(1.01^10)</f>
        <v>40851.135441957173</v>
      </c>
      <c r="I3391">
        <f>167654*(1.01^10)</f>
        <v>185194.31781369011</v>
      </c>
      <c r="J3391" t="s">
        <v>10670</v>
      </c>
      <c r="K3391">
        <f t="shared" si="52"/>
        <v>372.51807907593707</v>
      </c>
    </row>
    <row r="3392" spans="1:11" x14ac:dyDescent="0.2">
      <c r="A3392" t="s">
        <v>796</v>
      </c>
      <c r="B3392" t="s">
        <v>2522</v>
      </c>
      <c r="C3392" t="s">
        <v>10671</v>
      </c>
      <c r="D3392" t="s">
        <v>10672</v>
      </c>
      <c r="E3392" t="s">
        <v>386</v>
      </c>
      <c r="F3392" t="s">
        <v>12</v>
      </c>
      <c r="G3392" t="s">
        <v>17</v>
      </c>
      <c r="H3392">
        <f>49233*(1.01^10)</f>
        <v>54383.861100369846</v>
      </c>
      <c r="I3392">
        <f>238157*(1.01^10)</f>
        <v>263073.49152155628</v>
      </c>
      <c r="J3392" t="s">
        <v>10673</v>
      </c>
      <c r="K3392">
        <f t="shared" si="52"/>
        <v>355.39531128324171</v>
      </c>
    </row>
    <row r="3393" spans="1:11" x14ac:dyDescent="0.2">
      <c r="A3393" t="s">
        <v>796</v>
      </c>
      <c r="B3393" t="s">
        <v>2522</v>
      </c>
      <c r="C3393" t="s">
        <v>10674</v>
      </c>
      <c r="D3393" t="s">
        <v>10675</v>
      </c>
      <c r="E3393" t="s">
        <v>413</v>
      </c>
      <c r="F3393" t="s">
        <v>356</v>
      </c>
      <c r="G3393" t="s">
        <v>12</v>
      </c>
      <c r="H3393">
        <f>23338*(1.01^10)</f>
        <v>25779.671162846695</v>
      </c>
      <c r="I3393">
        <f>95073*(1.01^10)</f>
        <v>105019.73932921948</v>
      </c>
      <c r="J3393" t="s">
        <v>10676</v>
      </c>
      <c r="K3393">
        <f t="shared" si="52"/>
        <v>78.915928499992091</v>
      </c>
    </row>
    <row r="3394" spans="1:11" x14ac:dyDescent="0.2">
      <c r="A3394" t="s">
        <v>796</v>
      </c>
      <c r="B3394" t="s">
        <v>2522</v>
      </c>
      <c r="C3394" t="s">
        <v>10677</v>
      </c>
      <c r="D3394" t="s">
        <v>10678</v>
      </c>
      <c r="E3394" t="s">
        <v>833</v>
      </c>
      <c r="F3394" t="s">
        <v>744</v>
      </c>
      <c r="G3394" t="s">
        <v>12</v>
      </c>
      <c r="H3394">
        <f>27704*(1.01^10)</f>
        <v>30602.451362392017</v>
      </c>
      <c r="I3394">
        <f>116330*(1.01^10)</f>
        <v>128500.69184908544</v>
      </c>
      <c r="J3394" t="s">
        <v>10679</v>
      </c>
      <c r="K3394">
        <f t="shared" si="52"/>
        <v>124.13966540346182</v>
      </c>
    </row>
    <row r="3395" spans="1:11" x14ac:dyDescent="0.2">
      <c r="A3395" t="s">
        <v>796</v>
      </c>
      <c r="B3395" t="s">
        <v>2522</v>
      </c>
      <c r="C3395" t="s">
        <v>10680</v>
      </c>
      <c r="D3395" t="s">
        <v>10681</v>
      </c>
      <c r="E3395" t="s">
        <v>3215</v>
      </c>
      <c r="F3395" t="s">
        <v>744</v>
      </c>
      <c r="G3395" t="s">
        <v>24</v>
      </c>
      <c r="H3395">
        <f>32754*(1.01^10)</f>
        <v>36180.793095718604</v>
      </c>
      <c r="I3395">
        <f>124384*(1.01^10)</f>
        <v>137397.31844714729</v>
      </c>
      <c r="J3395" t="s">
        <v>10682</v>
      </c>
      <c r="K3395">
        <f t="shared" ref="K3395:K3458" si="53">I3395/J3395</f>
        <v>90.65783804951046</v>
      </c>
    </row>
    <row r="3396" spans="1:11" x14ac:dyDescent="0.2">
      <c r="A3396" t="s">
        <v>796</v>
      </c>
      <c r="B3396" t="s">
        <v>2522</v>
      </c>
      <c r="C3396" t="s">
        <v>10683</v>
      </c>
      <c r="D3396" t="s">
        <v>10684</v>
      </c>
      <c r="E3396" t="s">
        <v>589</v>
      </c>
      <c r="F3396" t="s">
        <v>12</v>
      </c>
      <c r="G3396" t="s">
        <v>24</v>
      </c>
      <c r="H3396">
        <f>26768*(1.01^10)</f>
        <v>29568.525053007128</v>
      </c>
      <c r="I3396">
        <f>94212*(1.01^10)</f>
        <v>104068.65967924042</v>
      </c>
      <c r="J3396" t="s">
        <v>10685</v>
      </c>
      <c r="K3396">
        <f t="shared" si="53"/>
        <v>228.32195955058575</v>
      </c>
    </row>
    <row r="3397" spans="1:11" x14ac:dyDescent="0.2">
      <c r="A3397" t="s">
        <v>796</v>
      </c>
      <c r="B3397" t="s">
        <v>1538</v>
      </c>
      <c r="C3397" t="s">
        <v>10686</v>
      </c>
      <c r="D3397" t="s">
        <v>10687</v>
      </c>
      <c r="E3397" t="s">
        <v>1974</v>
      </c>
      <c r="F3397" t="s">
        <v>405</v>
      </c>
      <c r="G3397" t="s">
        <v>12</v>
      </c>
      <c r="H3397">
        <f>42805*(1.01^10)</f>
        <v>47283.35007822662</v>
      </c>
      <c r="I3397">
        <f>175617*(1.01^10)</f>
        <v>193990.42379833956</v>
      </c>
      <c r="J3397" t="s">
        <v>10688</v>
      </c>
      <c r="K3397">
        <f t="shared" si="53"/>
        <v>283.40554380414045</v>
      </c>
    </row>
    <row r="3398" spans="1:11" x14ac:dyDescent="0.2">
      <c r="A3398" t="s">
        <v>796</v>
      </c>
      <c r="B3398" t="s">
        <v>1538</v>
      </c>
      <c r="C3398" t="s">
        <v>10689</v>
      </c>
      <c r="D3398" t="s">
        <v>10690</v>
      </c>
      <c r="E3398" t="s">
        <v>2342</v>
      </c>
      <c r="F3398" t="s">
        <v>17</v>
      </c>
      <c r="G3398" t="s">
        <v>12</v>
      </c>
      <c r="H3398">
        <f>49604*(1.01^10)</f>
        <v>54793.675908897399</v>
      </c>
      <c r="I3398">
        <f>194997*(1.01^10)</f>
        <v>215398.0005888087</v>
      </c>
      <c r="J3398" t="s">
        <v>10691</v>
      </c>
      <c r="K3398">
        <f t="shared" si="53"/>
        <v>216.80499011977716</v>
      </c>
    </row>
    <row r="3399" spans="1:11" x14ac:dyDescent="0.2">
      <c r="A3399" t="s">
        <v>796</v>
      </c>
      <c r="B3399" t="s">
        <v>1538</v>
      </c>
      <c r="C3399" t="s">
        <v>10692</v>
      </c>
      <c r="D3399" t="s">
        <v>10693</v>
      </c>
      <c r="E3399" t="s">
        <v>811</v>
      </c>
      <c r="F3399" t="s">
        <v>5</v>
      </c>
      <c r="G3399" t="s">
        <v>17</v>
      </c>
      <c r="H3399">
        <f>59502*(1.01^10)</f>
        <v>65727.225706217505</v>
      </c>
      <c r="I3399">
        <f>264115*(1.01^10)</f>
        <v>291747.27265298035</v>
      </c>
      <c r="J3399" t="s">
        <v>10694</v>
      </c>
      <c r="K3399">
        <f t="shared" si="53"/>
        <v>287.53067366062885</v>
      </c>
    </row>
    <row r="3400" spans="1:11" x14ac:dyDescent="0.2">
      <c r="A3400" t="s">
        <v>796</v>
      </c>
      <c r="B3400" t="s">
        <v>1538</v>
      </c>
      <c r="C3400" t="s">
        <v>10695</v>
      </c>
      <c r="D3400" t="s">
        <v>10696</v>
      </c>
      <c r="E3400" t="s">
        <v>621</v>
      </c>
      <c r="F3400" t="s">
        <v>405</v>
      </c>
      <c r="G3400" t="s">
        <v>12</v>
      </c>
      <c r="H3400">
        <f>50251*(1.01^10)</f>
        <v>55508.366424038453</v>
      </c>
      <c r="I3400">
        <f>204666*(1.01^10)</f>
        <v>226078.59191940964</v>
      </c>
      <c r="J3400" t="s">
        <v>10697</v>
      </c>
      <c r="K3400">
        <f t="shared" si="53"/>
        <v>232.0274066564908</v>
      </c>
    </row>
    <row r="3401" spans="1:11" x14ac:dyDescent="0.2">
      <c r="A3401" t="s">
        <v>796</v>
      </c>
      <c r="B3401" t="s">
        <v>1538</v>
      </c>
      <c r="C3401" t="s">
        <v>10698</v>
      </c>
      <c r="D3401" t="s">
        <v>10699</v>
      </c>
      <c r="E3401" t="s">
        <v>2342</v>
      </c>
      <c r="F3401" t="s">
        <v>6</v>
      </c>
      <c r="G3401" t="s">
        <v>12</v>
      </c>
      <c r="H3401">
        <f>46399*(1.01^10)</f>
        <v>51253.361996954489</v>
      </c>
      <c r="I3401">
        <f>193359*(1.01^10)</f>
        <v>213588.62954738515</v>
      </c>
      <c r="J3401" t="s">
        <v>10700</v>
      </c>
      <c r="K3401">
        <f t="shared" si="53"/>
        <v>190.20051489783847</v>
      </c>
    </row>
    <row r="3402" spans="1:11" x14ac:dyDescent="0.2">
      <c r="A3402" t="s">
        <v>796</v>
      </c>
      <c r="B3402" t="s">
        <v>5037</v>
      </c>
      <c r="C3402" t="s">
        <v>10701</v>
      </c>
      <c r="D3402" t="s">
        <v>10702</v>
      </c>
      <c r="E3402" t="s">
        <v>390</v>
      </c>
      <c r="F3402" t="s">
        <v>24</v>
      </c>
      <c r="G3402" t="s">
        <v>17</v>
      </c>
      <c r="H3402">
        <f>43667*(1.01^10)</f>
        <v>48235.53435033108</v>
      </c>
      <c r="I3402">
        <f>219013*(1.01^10)</f>
        <v>241926.6055526842</v>
      </c>
      <c r="J3402" t="s">
        <v>10703</v>
      </c>
      <c r="K3402">
        <f t="shared" si="53"/>
        <v>411.1238567029759</v>
      </c>
    </row>
    <row r="3403" spans="1:11" x14ac:dyDescent="0.2">
      <c r="A3403" t="s">
        <v>796</v>
      </c>
      <c r="B3403" t="s">
        <v>5037</v>
      </c>
      <c r="C3403" t="s">
        <v>10704</v>
      </c>
      <c r="D3403" t="s">
        <v>10705</v>
      </c>
      <c r="E3403" t="s">
        <v>503</v>
      </c>
      <c r="F3403" t="s">
        <v>12</v>
      </c>
      <c r="G3403" t="s">
        <v>12</v>
      </c>
      <c r="H3403">
        <f>26318*(1.01^10)</f>
        <v>29071.445096572086</v>
      </c>
      <c r="I3403">
        <f>121430*(1.01^10)</f>
        <v>134134.2646886826</v>
      </c>
      <c r="J3403" t="s">
        <v>10706</v>
      </c>
      <c r="K3403">
        <f t="shared" si="53"/>
        <v>180.30346091195824</v>
      </c>
    </row>
    <row r="3404" spans="1:11" x14ac:dyDescent="0.2">
      <c r="A3404" t="s">
        <v>796</v>
      </c>
      <c r="B3404" t="s">
        <v>5037</v>
      </c>
      <c r="C3404" t="s">
        <v>10707</v>
      </c>
      <c r="D3404" t="s">
        <v>10708</v>
      </c>
      <c r="E3404" t="s">
        <v>679</v>
      </c>
      <c r="F3404" t="s">
        <v>274</v>
      </c>
      <c r="G3404" t="s">
        <v>17</v>
      </c>
      <c r="H3404">
        <f>59622*(1.01^10)</f>
        <v>65859.78036126685</v>
      </c>
      <c r="I3404">
        <f>279833*(1.01^10)</f>
        <v>309109.72322019364</v>
      </c>
      <c r="J3404" t="s">
        <v>10709</v>
      </c>
      <c r="K3404">
        <f t="shared" si="53"/>
        <v>453.61252168639669</v>
      </c>
    </row>
    <row r="3405" spans="1:11" x14ac:dyDescent="0.2">
      <c r="A3405" t="s">
        <v>796</v>
      </c>
      <c r="B3405" t="s">
        <v>5037</v>
      </c>
      <c r="C3405" t="s">
        <v>10710</v>
      </c>
      <c r="D3405" t="s">
        <v>8769</v>
      </c>
      <c r="E3405" t="s">
        <v>2342</v>
      </c>
      <c r="F3405" t="s">
        <v>318</v>
      </c>
      <c r="G3405" t="s">
        <v>12</v>
      </c>
      <c r="H3405">
        <f>41344*(1.01^10)</f>
        <v>45669.497153000848</v>
      </c>
      <c r="I3405">
        <f>179505*(1.01^10)</f>
        <v>198285.19462193831</v>
      </c>
      <c r="J3405" t="s">
        <v>10711</v>
      </c>
      <c r="K3405">
        <f t="shared" si="53"/>
        <v>95.781992897589319</v>
      </c>
    </row>
    <row r="3406" spans="1:11" x14ac:dyDescent="0.2">
      <c r="A3406" t="s">
        <v>796</v>
      </c>
      <c r="B3406" t="s">
        <v>10712</v>
      </c>
      <c r="C3406" t="s">
        <v>10713</v>
      </c>
      <c r="D3406" t="s">
        <v>10714</v>
      </c>
      <c r="E3406" t="s">
        <v>611</v>
      </c>
      <c r="F3406" t="s">
        <v>24</v>
      </c>
      <c r="G3406" t="s">
        <v>12</v>
      </c>
      <c r="H3406">
        <f>25261*(1.01^10)</f>
        <v>27903.859510012444</v>
      </c>
      <c r="I3406">
        <f>106462*(1.01^10)</f>
        <v>117600.28071552768</v>
      </c>
      <c r="J3406" t="s">
        <v>10715</v>
      </c>
      <c r="K3406">
        <f t="shared" si="53"/>
        <v>225.72457664111403</v>
      </c>
    </row>
    <row r="3407" spans="1:11" x14ac:dyDescent="0.2">
      <c r="A3407" t="s">
        <v>796</v>
      </c>
      <c r="B3407" t="s">
        <v>10712</v>
      </c>
      <c r="C3407" t="s">
        <v>10716</v>
      </c>
      <c r="D3407" t="s">
        <v>10717</v>
      </c>
      <c r="E3407" t="s">
        <v>1303</v>
      </c>
      <c r="F3407" t="s">
        <v>24</v>
      </c>
      <c r="G3407" t="s">
        <v>12</v>
      </c>
      <c r="H3407">
        <f>20396*(1.01^10)</f>
        <v>22529.872869886931</v>
      </c>
      <c r="I3407">
        <f>94937*(1.01^10)</f>
        <v>104869.51072016354</v>
      </c>
      <c r="J3407" t="s">
        <v>10718</v>
      </c>
      <c r="K3407">
        <f t="shared" si="53"/>
        <v>150.47958037498395</v>
      </c>
    </row>
    <row r="3408" spans="1:11" x14ac:dyDescent="0.2">
      <c r="A3408" t="s">
        <v>796</v>
      </c>
      <c r="B3408" t="s">
        <v>10712</v>
      </c>
      <c r="C3408" t="s">
        <v>10719</v>
      </c>
      <c r="D3408" t="s">
        <v>10720</v>
      </c>
      <c r="E3408" t="s">
        <v>2949</v>
      </c>
      <c r="F3408" t="s">
        <v>24</v>
      </c>
      <c r="G3408" t="s">
        <v>24</v>
      </c>
      <c r="H3408">
        <f>12888*(1.01^10)</f>
        <v>14236.369952299607</v>
      </c>
      <c r="I3408">
        <f>64293*(1.01^10)</f>
        <v>71019.470309062584</v>
      </c>
      <c r="J3408" t="s">
        <v>10721</v>
      </c>
      <c r="K3408">
        <f t="shared" si="53"/>
        <v>78.933062883662686</v>
      </c>
    </row>
    <row r="3409" spans="1:11" x14ac:dyDescent="0.2">
      <c r="A3409" t="s">
        <v>796</v>
      </c>
      <c r="B3409" t="s">
        <v>10712</v>
      </c>
      <c r="C3409" t="s">
        <v>10722</v>
      </c>
      <c r="D3409" t="s">
        <v>10723</v>
      </c>
      <c r="E3409" t="s">
        <v>977</v>
      </c>
      <c r="F3409" t="s">
        <v>24</v>
      </c>
      <c r="G3409" t="s">
        <v>12</v>
      </c>
      <c r="H3409">
        <f>27850*(1.01^10)</f>
        <v>30763.726192702052</v>
      </c>
      <c r="I3409">
        <f>123650*(1.01^10)</f>
        <v>136586.52580709546</v>
      </c>
      <c r="J3409" t="s">
        <v>10724</v>
      </c>
      <c r="K3409">
        <f t="shared" si="53"/>
        <v>215.65428002961679</v>
      </c>
    </row>
    <row r="3410" spans="1:11" x14ac:dyDescent="0.2">
      <c r="A3410" t="s">
        <v>796</v>
      </c>
      <c r="B3410" t="s">
        <v>10712</v>
      </c>
      <c r="C3410" t="s">
        <v>10725</v>
      </c>
      <c r="D3410" t="s">
        <v>10726</v>
      </c>
      <c r="E3410" t="s">
        <v>4</v>
      </c>
      <c r="F3410" t="s">
        <v>24</v>
      </c>
      <c r="G3410" t="s">
        <v>12</v>
      </c>
      <c r="H3410">
        <f>24688*(1.01^10)</f>
        <v>27270.911032151824</v>
      </c>
      <c r="I3410">
        <f>110424*(1.01^10)</f>
        <v>121976.79357640687</v>
      </c>
      <c r="J3410" t="s">
        <v>10727</v>
      </c>
      <c r="K3410">
        <f t="shared" si="53"/>
        <v>136.01126850872876</v>
      </c>
    </row>
    <row r="3411" spans="1:11" x14ac:dyDescent="0.2">
      <c r="A3411" t="s">
        <v>796</v>
      </c>
      <c r="B3411" t="s">
        <v>10712</v>
      </c>
      <c r="C3411" t="s">
        <v>10728</v>
      </c>
      <c r="D3411" t="s">
        <v>10729</v>
      </c>
      <c r="E3411" t="s">
        <v>811</v>
      </c>
      <c r="F3411" t="s">
        <v>92</v>
      </c>
      <c r="G3411" t="s">
        <v>12</v>
      </c>
      <c r="H3411">
        <f>15702*(1.01^10)</f>
        <v>17344.776613206737</v>
      </c>
      <c r="I3411">
        <f>78175*(1.01^10)</f>
        <v>86353.834654020931</v>
      </c>
      <c r="J3411" t="s">
        <v>10730</v>
      </c>
      <c r="K3411">
        <f t="shared" si="53"/>
        <v>53.858764618607388</v>
      </c>
    </row>
    <row r="3412" spans="1:11" x14ac:dyDescent="0.2">
      <c r="A3412" t="s">
        <v>796</v>
      </c>
      <c r="B3412" t="s">
        <v>10712</v>
      </c>
      <c r="C3412" t="s">
        <v>10731</v>
      </c>
      <c r="D3412" t="s">
        <v>10732</v>
      </c>
      <c r="E3412" t="s">
        <v>1893</v>
      </c>
      <c r="F3412" t="s">
        <v>17</v>
      </c>
      <c r="G3412" t="s">
        <v>12</v>
      </c>
      <c r="H3412">
        <f>34152*(1.01^10)</f>
        <v>37725.054827043467</v>
      </c>
      <c r="I3412">
        <f>171000*(1.01^10)</f>
        <v>188890.38344531602</v>
      </c>
      <c r="J3412" t="s">
        <v>10733</v>
      </c>
      <c r="K3412">
        <f t="shared" si="53"/>
        <v>98.903063398948774</v>
      </c>
    </row>
    <row r="3413" spans="1:11" x14ac:dyDescent="0.2">
      <c r="A3413" t="s">
        <v>796</v>
      </c>
      <c r="B3413" t="s">
        <v>1108</v>
      </c>
      <c r="C3413" t="s">
        <v>10734</v>
      </c>
      <c r="D3413" t="s">
        <v>10735</v>
      </c>
      <c r="E3413" t="s">
        <v>368</v>
      </c>
      <c r="F3413" t="s">
        <v>24</v>
      </c>
      <c r="G3413" t="s">
        <v>12</v>
      </c>
      <c r="H3413">
        <f>19640*(1.01^10)</f>
        <v>21694.77854307606</v>
      </c>
      <c r="I3413">
        <f>93003*(1.01^10)</f>
        <v>102733.17152961828</v>
      </c>
      <c r="J3413" t="s">
        <v>10736</v>
      </c>
      <c r="K3413">
        <f t="shared" si="53"/>
        <v>118.23504357544276</v>
      </c>
    </row>
    <row r="3414" spans="1:11" x14ac:dyDescent="0.2">
      <c r="A3414" t="s">
        <v>796</v>
      </c>
      <c r="B3414" t="s">
        <v>1108</v>
      </c>
      <c r="C3414" t="s">
        <v>10737</v>
      </c>
      <c r="D3414" t="s">
        <v>10738</v>
      </c>
      <c r="E3414" t="s">
        <v>3122</v>
      </c>
      <c r="F3414" t="s">
        <v>24</v>
      </c>
      <c r="G3414" t="s">
        <v>12</v>
      </c>
      <c r="H3414">
        <f>18116*(1.01^10)</f>
        <v>20011.334423949385</v>
      </c>
      <c r="I3414">
        <f>85560*(1.01^10)</f>
        <v>94511.469050182684</v>
      </c>
      <c r="J3414" t="s">
        <v>10739</v>
      </c>
      <c r="K3414">
        <f t="shared" si="53"/>
        <v>168.90532951346296</v>
      </c>
    </row>
    <row r="3415" spans="1:11" x14ac:dyDescent="0.2">
      <c r="A3415" t="s">
        <v>796</v>
      </c>
      <c r="B3415" t="s">
        <v>1108</v>
      </c>
      <c r="C3415" t="s">
        <v>10740</v>
      </c>
      <c r="D3415" t="s">
        <v>10741</v>
      </c>
      <c r="E3415" t="s">
        <v>1227</v>
      </c>
      <c r="F3415" t="s">
        <v>24</v>
      </c>
      <c r="G3415" t="s">
        <v>12</v>
      </c>
      <c r="H3415">
        <f>42783*(1.01^10)</f>
        <v>47259.048391467571</v>
      </c>
      <c r="I3415">
        <f>201795*(1.01^10)</f>
        <v>222907.22179735405</v>
      </c>
      <c r="J3415" t="s">
        <v>10742</v>
      </c>
      <c r="K3415">
        <f t="shared" si="53"/>
        <v>121.18981513241205</v>
      </c>
    </row>
    <row r="3416" spans="1:11" x14ac:dyDescent="0.2">
      <c r="A3416" t="s">
        <v>796</v>
      </c>
      <c r="B3416" t="s">
        <v>1108</v>
      </c>
      <c r="C3416" t="s">
        <v>10743</v>
      </c>
      <c r="D3416" t="s">
        <v>10744</v>
      </c>
      <c r="E3416" t="s">
        <v>32</v>
      </c>
      <c r="F3416" t="s">
        <v>5</v>
      </c>
      <c r="G3416" t="s">
        <v>24</v>
      </c>
      <c r="H3416">
        <f>20349*(1.01^10)</f>
        <v>22477.955629992604</v>
      </c>
      <c r="I3416">
        <f>99714*(1.01^10)</f>
        <v>110146.29061325287</v>
      </c>
      <c r="J3416" t="s">
        <v>10745</v>
      </c>
      <c r="K3416">
        <f t="shared" si="53"/>
        <v>115.21935496016238</v>
      </c>
    </row>
    <row r="3417" spans="1:11" x14ac:dyDescent="0.2">
      <c r="A3417" t="s">
        <v>796</v>
      </c>
      <c r="B3417" t="s">
        <v>1108</v>
      </c>
      <c r="C3417" t="s">
        <v>10746</v>
      </c>
      <c r="D3417" t="s">
        <v>10747</v>
      </c>
      <c r="E3417" t="s">
        <v>489</v>
      </c>
      <c r="F3417" t="s">
        <v>24</v>
      </c>
      <c r="G3417" t="s">
        <v>12</v>
      </c>
      <c r="H3417">
        <f>20692*(1.01^10)</f>
        <v>22856.841019008647</v>
      </c>
      <c r="I3417">
        <f>98752*(1.01^10)</f>
        <v>109083.64412860729</v>
      </c>
      <c r="J3417" t="s">
        <v>10748</v>
      </c>
      <c r="K3417">
        <f t="shared" si="53"/>
        <v>124.97032433070967</v>
      </c>
    </row>
    <row r="3418" spans="1:11" x14ac:dyDescent="0.2">
      <c r="A3418" t="s">
        <v>796</v>
      </c>
      <c r="B3418" t="s">
        <v>1108</v>
      </c>
      <c r="C3418" t="s">
        <v>10749</v>
      </c>
      <c r="D3418" t="s">
        <v>10750</v>
      </c>
      <c r="E3418" t="s">
        <v>1944</v>
      </c>
      <c r="F3418" t="s">
        <v>152</v>
      </c>
      <c r="G3418" t="s">
        <v>12</v>
      </c>
      <c r="H3418">
        <f>55378*(1.01^10)</f>
        <v>61171.764061021699</v>
      </c>
      <c r="I3418">
        <f>239808*(1.01^10)</f>
        <v>264897.2226506102</v>
      </c>
      <c r="J3418" t="s">
        <v>10751</v>
      </c>
      <c r="K3418">
        <f t="shared" si="53"/>
        <v>368.1428985485515</v>
      </c>
    </row>
    <row r="3419" spans="1:11" x14ac:dyDescent="0.2">
      <c r="A3419" t="s">
        <v>796</v>
      </c>
      <c r="B3419" t="s">
        <v>1108</v>
      </c>
      <c r="C3419" t="s">
        <v>10752</v>
      </c>
      <c r="D3419" t="s">
        <v>10753</v>
      </c>
      <c r="E3419" t="s">
        <v>253</v>
      </c>
      <c r="F3419" t="s">
        <v>92</v>
      </c>
      <c r="G3419" t="s">
        <v>24</v>
      </c>
      <c r="H3419">
        <f>17303*(1.01^10)</f>
        <v>19113.276635990074</v>
      </c>
      <c r="I3419">
        <f>75842*(1.01^10)</f>
        <v>83776.75123543659</v>
      </c>
      <c r="J3419" t="s">
        <v>10754</v>
      </c>
      <c r="K3419">
        <f t="shared" si="53"/>
        <v>140.64909627602353</v>
      </c>
    </row>
    <row r="3420" spans="1:11" x14ac:dyDescent="0.2">
      <c r="A3420" t="s">
        <v>796</v>
      </c>
      <c r="B3420" t="s">
        <v>1108</v>
      </c>
      <c r="C3420" t="s">
        <v>10755</v>
      </c>
      <c r="D3420" t="s">
        <v>10756</v>
      </c>
      <c r="E3420" t="s">
        <v>176</v>
      </c>
      <c r="F3420" t="s">
        <v>24</v>
      </c>
      <c r="G3420" t="s">
        <v>24</v>
      </c>
      <c r="H3420">
        <f>10259*(1.01^10)</f>
        <v>11332.318384593549</v>
      </c>
      <c r="I3420">
        <f>48040*(1.01^10)</f>
        <v>53066.046904754279</v>
      </c>
      <c r="J3420" t="s">
        <v>10757</v>
      </c>
      <c r="K3420">
        <f t="shared" si="53"/>
        <v>165.68106018066956</v>
      </c>
    </row>
    <row r="3421" spans="1:11" x14ac:dyDescent="0.2">
      <c r="A3421" t="s">
        <v>796</v>
      </c>
      <c r="B3421" t="s">
        <v>1108</v>
      </c>
      <c r="C3421" t="s">
        <v>10758</v>
      </c>
      <c r="D3421" t="s">
        <v>10759</v>
      </c>
      <c r="E3421" t="s">
        <v>1303</v>
      </c>
      <c r="F3421" t="s">
        <v>12</v>
      </c>
      <c r="G3421" t="s">
        <v>12</v>
      </c>
      <c r="H3421">
        <f>36432*(1.01^10)</f>
        <v>40243.593272981008</v>
      </c>
      <c r="I3421">
        <f>163997*(1.01^10)</f>
        <v>181154.71470106134</v>
      </c>
      <c r="J3421" t="s">
        <v>10760</v>
      </c>
      <c r="K3421">
        <f t="shared" si="53"/>
        <v>147.94151799460886</v>
      </c>
    </row>
    <row r="3422" spans="1:11" x14ac:dyDescent="0.2">
      <c r="A3422" t="s">
        <v>796</v>
      </c>
      <c r="B3422" t="s">
        <v>1108</v>
      </c>
      <c r="C3422" t="s">
        <v>10761</v>
      </c>
      <c r="D3422" t="s">
        <v>10762</v>
      </c>
      <c r="E3422" t="s">
        <v>1328</v>
      </c>
      <c r="F3422" t="s">
        <v>11</v>
      </c>
      <c r="G3422" t="s">
        <v>24</v>
      </c>
      <c r="H3422">
        <f>34621*(1.01^10)</f>
        <v>38243.122603861317</v>
      </c>
      <c r="I3422">
        <f>149823*(1.01^10)</f>
        <v>165497.80069548293</v>
      </c>
      <c r="J3422" t="s">
        <v>10763</v>
      </c>
      <c r="K3422">
        <f t="shared" si="53"/>
        <v>140.25475066991214</v>
      </c>
    </row>
    <row r="3423" spans="1:11" x14ac:dyDescent="0.2">
      <c r="A3423" t="s">
        <v>796</v>
      </c>
      <c r="B3423" t="s">
        <v>1108</v>
      </c>
      <c r="C3423" t="s">
        <v>10764</v>
      </c>
      <c r="D3423" t="s">
        <v>10765</v>
      </c>
      <c r="E3423" t="s">
        <v>535</v>
      </c>
      <c r="F3423" t="s">
        <v>24</v>
      </c>
      <c r="G3423" t="s">
        <v>24</v>
      </c>
      <c r="H3423">
        <f>18206*(1.01^10)</f>
        <v>20110.750415236394</v>
      </c>
      <c r="I3423">
        <f>77505*(1.01^10)</f>
        <v>85613.737829995429</v>
      </c>
      <c r="J3423" t="s">
        <v>10766</v>
      </c>
      <c r="K3423">
        <f t="shared" si="53"/>
        <v>241.54677692636452</v>
      </c>
    </row>
    <row r="3424" spans="1:11" x14ac:dyDescent="0.2">
      <c r="A3424" t="s">
        <v>796</v>
      </c>
      <c r="B3424" t="s">
        <v>1108</v>
      </c>
      <c r="C3424" t="s">
        <v>10767</v>
      </c>
      <c r="D3424" t="s">
        <v>10768</v>
      </c>
      <c r="E3424" t="s">
        <v>121</v>
      </c>
      <c r="F3424" t="s">
        <v>12</v>
      </c>
      <c r="G3424" t="s">
        <v>24</v>
      </c>
      <c r="H3424">
        <f>17759*(1.01^10)</f>
        <v>19616.984325177586</v>
      </c>
      <c r="I3424">
        <f>79360*(1.01^10)</f>
        <v>87662.811872633203</v>
      </c>
      <c r="J3424" t="s">
        <v>10769</v>
      </c>
      <c r="K3424">
        <f t="shared" si="53"/>
        <v>89.545159382313415</v>
      </c>
    </row>
    <row r="3425" spans="1:11" x14ac:dyDescent="0.2">
      <c r="A3425" t="s">
        <v>796</v>
      </c>
      <c r="B3425" t="s">
        <v>3242</v>
      </c>
      <c r="C3425" t="s">
        <v>10770</v>
      </c>
      <c r="D3425" t="s">
        <v>4655</v>
      </c>
      <c r="E3425" t="s">
        <v>676</v>
      </c>
      <c r="F3425" t="s">
        <v>24</v>
      </c>
      <c r="G3425" t="s">
        <v>12</v>
      </c>
      <c r="H3425">
        <f>21156*(1.01^10)</f>
        <v>23369.385685199446</v>
      </c>
      <c r="I3425">
        <f>104870*(1.01^10)</f>
        <v>115841.72229187304</v>
      </c>
      <c r="J3425" t="s">
        <v>10771</v>
      </c>
      <c r="K3425">
        <f t="shared" si="53"/>
        <v>93.187860379350582</v>
      </c>
    </row>
    <row r="3426" spans="1:11" x14ac:dyDescent="0.2">
      <c r="A3426" t="s">
        <v>796</v>
      </c>
      <c r="B3426" t="s">
        <v>3242</v>
      </c>
      <c r="C3426" t="s">
        <v>10772</v>
      </c>
      <c r="D3426" t="s">
        <v>10773</v>
      </c>
      <c r="E3426" t="s">
        <v>495</v>
      </c>
      <c r="F3426" t="s">
        <v>47</v>
      </c>
      <c r="G3426" t="s">
        <v>24</v>
      </c>
      <c r="H3426">
        <f>6826*(1.01^10)</f>
        <v>7540.1506280568838</v>
      </c>
      <c r="I3426">
        <f>34950*(1.01^10)</f>
        <v>38606.543283121609</v>
      </c>
      <c r="J3426" t="s">
        <v>10774</v>
      </c>
      <c r="K3426">
        <f t="shared" si="53"/>
        <v>11.321895155198922</v>
      </c>
    </row>
    <row r="3427" spans="1:11" x14ac:dyDescent="0.2">
      <c r="A3427" t="s">
        <v>796</v>
      </c>
      <c r="B3427" t="s">
        <v>962</v>
      </c>
      <c r="C3427" t="s">
        <v>10775</v>
      </c>
      <c r="D3427" t="s">
        <v>10776</v>
      </c>
      <c r="E3427" t="s">
        <v>1027</v>
      </c>
      <c r="F3427" t="s">
        <v>11</v>
      </c>
      <c r="G3427" t="s">
        <v>17</v>
      </c>
      <c r="H3427">
        <f>22233*(1.01^10)</f>
        <v>24559.063714267315</v>
      </c>
      <c r="I3427">
        <f>94351*(1.01^10)</f>
        <v>104222.20215467257</v>
      </c>
      <c r="J3427" t="s">
        <v>10777</v>
      </c>
      <c r="K3427">
        <f t="shared" si="53"/>
        <v>126.75999623506102</v>
      </c>
    </row>
    <row r="3428" spans="1:11" x14ac:dyDescent="0.2">
      <c r="A3428" t="s">
        <v>796</v>
      </c>
      <c r="B3428" t="s">
        <v>962</v>
      </c>
      <c r="C3428" t="s">
        <v>10778</v>
      </c>
      <c r="D3428" t="s">
        <v>10779</v>
      </c>
      <c r="E3428" t="s">
        <v>998</v>
      </c>
      <c r="F3428" t="s">
        <v>24</v>
      </c>
      <c r="G3428" t="s">
        <v>17</v>
      </c>
      <c r="H3428">
        <f>18174*(1.01^10)</f>
        <v>20075.402507223236</v>
      </c>
      <c r="I3428">
        <f>80552*(1.01^10)</f>
        <v>88979.52144612337</v>
      </c>
      <c r="J3428" t="s">
        <v>10780</v>
      </c>
      <c r="K3428">
        <f t="shared" si="53"/>
        <v>103.83519949407172</v>
      </c>
    </row>
    <row r="3429" spans="1:11" x14ac:dyDescent="0.2">
      <c r="A3429" t="s">
        <v>796</v>
      </c>
      <c r="B3429" t="s">
        <v>962</v>
      </c>
      <c r="C3429" t="s">
        <v>10781</v>
      </c>
      <c r="D3429" t="s">
        <v>10782</v>
      </c>
      <c r="E3429" t="s">
        <v>131</v>
      </c>
      <c r="F3429" t="s">
        <v>24</v>
      </c>
      <c r="G3429" t="s">
        <v>24</v>
      </c>
      <c r="H3429">
        <f>9415*(1.01^10)</f>
        <v>10400.017310746493</v>
      </c>
      <c r="I3429">
        <f>43335*(1.01^10)</f>
        <v>47868.799804694558</v>
      </c>
      <c r="J3429" t="s">
        <v>10783</v>
      </c>
      <c r="K3429">
        <f t="shared" si="53"/>
        <v>93.704125985204556</v>
      </c>
    </row>
    <row r="3430" spans="1:11" x14ac:dyDescent="0.2">
      <c r="A3430" t="s">
        <v>796</v>
      </c>
      <c r="B3430" t="s">
        <v>962</v>
      </c>
      <c r="C3430" t="s">
        <v>10784</v>
      </c>
      <c r="D3430" t="s">
        <v>10785</v>
      </c>
      <c r="E3430" t="s">
        <v>619</v>
      </c>
      <c r="F3430" t="s">
        <v>12</v>
      </c>
      <c r="G3430" t="s">
        <v>12</v>
      </c>
      <c r="H3430">
        <f>15354*(1.01^10)</f>
        <v>16960.368113563636</v>
      </c>
      <c r="I3430">
        <f>65241*(1.01^10)</f>
        <v>72066.652083952402</v>
      </c>
      <c r="J3430" t="s">
        <v>10786</v>
      </c>
      <c r="K3430">
        <f t="shared" si="53"/>
        <v>109.95880770061518</v>
      </c>
    </row>
    <row r="3431" spans="1:11" x14ac:dyDescent="0.2">
      <c r="A3431" t="s">
        <v>796</v>
      </c>
      <c r="B3431" t="s">
        <v>962</v>
      </c>
      <c r="C3431" t="s">
        <v>10787</v>
      </c>
      <c r="D3431" t="s">
        <v>10788</v>
      </c>
      <c r="E3431" t="s">
        <v>416</v>
      </c>
      <c r="F3431" t="s">
        <v>318</v>
      </c>
      <c r="G3431" t="s">
        <v>17</v>
      </c>
      <c r="H3431">
        <f>23714*(1.01^10)</f>
        <v>26195.00908200131</v>
      </c>
      <c r="I3431">
        <f>105596*(1.01^10)</f>
        <v>116643.67795492157</v>
      </c>
      <c r="J3431" t="s">
        <v>10789</v>
      </c>
      <c r="K3431">
        <f t="shared" si="53"/>
        <v>32.617897126268097</v>
      </c>
    </row>
    <row r="3432" spans="1:11" x14ac:dyDescent="0.2">
      <c r="A3432" t="s">
        <v>796</v>
      </c>
      <c r="B3432" t="s">
        <v>962</v>
      </c>
      <c r="C3432" t="s">
        <v>10790</v>
      </c>
      <c r="D3432" t="s">
        <v>10791</v>
      </c>
      <c r="E3432" t="s">
        <v>394</v>
      </c>
      <c r="F3432" t="s">
        <v>24</v>
      </c>
      <c r="G3432" t="s">
        <v>24</v>
      </c>
      <c r="H3432">
        <f>17577*(1.01^10)</f>
        <v>19415.943098352745</v>
      </c>
      <c r="I3432">
        <f>79672*(1.01^10)</f>
        <v>88007.453975761498</v>
      </c>
      <c r="J3432" t="s">
        <v>10792</v>
      </c>
      <c r="K3432">
        <f t="shared" si="53"/>
        <v>89.836587081574379</v>
      </c>
    </row>
    <row r="3433" spans="1:11" x14ac:dyDescent="0.2">
      <c r="A3433" t="s">
        <v>796</v>
      </c>
      <c r="B3433" t="s">
        <v>962</v>
      </c>
      <c r="C3433" t="s">
        <v>10793</v>
      </c>
      <c r="D3433" t="s">
        <v>10794</v>
      </c>
      <c r="E3433" t="s">
        <v>126</v>
      </c>
      <c r="F3433" t="s">
        <v>24</v>
      </c>
      <c r="G3433" t="s">
        <v>12</v>
      </c>
      <c r="H3433">
        <f>14383*(1.01^10)</f>
        <v>15887.780029789357</v>
      </c>
      <c r="I3433">
        <f>64891*(1.01^10)</f>
        <v>71680.034340058482</v>
      </c>
      <c r="J3433" t="s">
        <v>10795</v>
      </c>
      <c r="K3433">
        <f t="shared" si="53"/>
        <v>79.918124800133128</v>
      </c>
    </row>
    <row r="3434" spans="1:11" x14ac:dyDescent="0.2">
      <c r="A3434" t="s">
        <v>796</v>
      </c>
      <c r="B3434" t="s">
        <v>1015</v>
      </c>
      <c r="C3434" t="s">
        <v>10796</v>
      </c>
      <c r="D3434" t="s">
        <v>10797</v>
      </c>
      <c r="E3434" t="s">
        <v>1576</v>
      </c>
      <c r="F3434" t="s">
        <v>619</v>
      </c>
      <c r="G3434" t="s">
        <v>12</v>
      </c>
      <c r="H3434">
        <f>11125*(1.01^10)</f>
        <v>12288.921145199653</v>
      </c>
      <c r="I3434">
        <f>49390*(1.01^10)</f>
        <v>54557.286774059401</v>
      </c>
      <c r="J3434" t="s">
        <v>10798</v>
      </c>
      <c r="K3434">
        <f t="shared" si="53"/>
        <v>27.523750756449743</v>
      </c>
    </row>
    <row r="3435" spans="1:11" x14ac:dyDescent="0.2">
      <c r="A3435" t="s">
        <v>796</v>
      </c>
      <c r="B3435" t="s">
        <v>1015</v>
      </c>
      <c r="C3435" t="s">
        <v>10799</v>
      </c>
      <c r="D3435" t="s">
        <v>10800</v>
      </c>
      <c r="E3435" t="s">
        <v>479</v>
      </c>
      <c r="F3435" t="s">
        <v>405</v>
      </c>
      <c r="G3435" t="s">
        <v>24</v>
      </c>
      <c r="H3435">
        <f>11972*(1.01^10)</f>
        <v>13224.536085422944</v>
      </c>
      <c r="I3435">
        <f>55686*(1.01^10)</f>
        <v>61511.98767564835</v>
      </c>
      <c r="J3435" t="s">
        <v>10801</v>
      </c>
      <c r="K3435">
        <f t="shared" si="53"/>
        <v>26.686618722786424</v>
      </c>
    </row>
    <row r="3436" spans="1:11" x14ac:dyDescent="0.2">
      <c r="A3436" t="s">
        <v>796</v>
      </c>
      <c r="B3436" t="s">
        <v>1015</v>
      </c>
      <c r="C3436" t="s">
        <v>10802</v>
      </c>
      <c r="D3436" t="s">
        <v>10803</v>
      </c>
      <c r="E3436" t="s">
        <v>36</v>
      </c>
      <c r="F3436" t="s">
        <v>17</v>
      </c>
      <c r="G3436" t="s">
        <v>12</v>
      </c>
      <c r="H3436">
        <f>14454*(1.01^10)</f>
        <v>15966.208200693554</v>
      </c>
      <c r="I3436">
        <f>66448*(1.01^10)</f>
        <v>73399.930989323737</v>
      </c>
      <c r="J3436" t="s">
        <v>10804</v>
      </c>
      <c r="K3436">
        <f t="shared" si="53"/>
        <v>47.521532807986645</v>
      </c>
    </row>
    <row r="3437" spans="1:11" x14ac:dyDescent="0.2">
      <c r="A3437" t="s">
        <v>796</v>
      </c>
      <c r="B3437" t="s">
        <v>1015</v>
      </c>
      <c r="C3437" t="s">
        <v>10805</v>
      </c>
      <c r="D3437" t="s">
        <v>10806</v>
      </c>
      <c r="E3437" t="s">
        <v>507</v>
      </c>
      <c r="F3437" t="s">
        <v>67</v>
      </c>
      <c r="G3437" t="s">
        <v>12</v>
      </c>
      <c r="H3437">
        <f>17206*(1.01^10)</f>
        <v>19006.128289825188</v>
      </c>
      <c r="I3437">
        <f>83706*(1.01^10)</f>
        <v>92463.499629670303</v>
      </c>
      <c r="J3437" t="s">
        <v>10807</v>
      </c>
      <c r="K3437">
        <f t="shared" si="53"/>
        <v>34.267644780402229</v>
      </c>
    </row>
    <row r="3438" spans="1:11" x14ac:dyDescent="0.2">
      <c r="A3438" t="s">
        <v>61</v>
      </c>
      <c r="B3438" t="s">
        <v>984</v>
      </c>
      <c r="C3438" t="s">
        <v>10808</v>
      </c>
      <c r="D3438" t="s">
        <v>10809</v>
      </c>
      <c r="E3438" t="s">
        <v>172</v>
      </c>
      <c r="F3438" t="s">
        <v>382</v>
      </c>
      <c r="G3438" t="s">
        <v>12</v>
      </c>
      <c r="H3438">
        <f>32441*(1.01^10)</f>
        <v>35835.046370464894</v>
      </c>
      <c r="I3438">
        <f>144537*(1.01^10)</f>
        <v>159658.76814055929</v>
      </c>
      <c r="J3438" t="s">
        <v>10810</v>
      </c>
      <c r="K3438">
        <f t="shared" si="53"/>
        <v>87.304900304869065</v>
      </c>
    </row>
    <row r="3439" spans="1:11" x14ac:dyDescent="0.2">
      <c r="A3439" t="s">
        <v>61</v>
      </c>
      <c r="B3439" t="s">
        <v>984</v>
      </c>
      <c r="C3439" t="s">
        <v>10811</v>
      </c>
      <c r="D3439" t="s">
        <v>10812</v>
      </c>
      <c r="E3439" t="s">
        <v>121</v>
      </c>
      <c r="F3439" t="s">
        <v>61</v>
      </c>
      <c r="G3439" t="s">
        <v>24</v>
      </c>
      <c r="H3439">
        <f>19413*(1.01^10)</f>
        <v>21444.029320607719</v>
      </c>
      <c r="I3439">
        <f>87468*(1.01^10)</f>
        <v>96619.088065467251</v>
      </c>
      <c r="J3439" t="s">
        <v>10813</v>
      </c>
      <c r="K3439">
        <f t="shared" si="53"/>
        <v>94.777537929556374</v>
      </c>
    </row>
    <row r="3440" spans="1:11" x14ac:dyDescent="0.2">
      <c r="A3440" t="s">
        <v>61</v>
      </c>
      <c r="B3440" t="s">
        <v>984</v>
      </c>
      <c r="C3440" t="s">
        <v>10814</v>
      </c>
      <c r="D3440" t="s">
        <v>10815</v>
      </c>
      <c r="E3440" t="s">
        <v>2873</v>
      </c>
      <c r="F3440" t="s">
        <v>152</v>
      </c>
      <c r="G3440" t="s">
        <v>12</v>
      </c>
      <c r="H3440">
        <f>51025*(1.01^10)</f>
        <v>56363.343949106726</v>
      </c>
      <c r="I3440">
        <f>245981*(1.01^10)</f>
        <v>271716.05503077357</v>
      </c>
      <c r="J3440" t="s">
        <v>10816</v>
      </c>
      <c r="K3440">
        <f t="shared" si="53"/>
        <v>229.43647907533634</v>
      </c>
    </row>
    <row r="3441" spans="1:11" x14ac:dyDescent="0.2">
      <c r="A3441" t="s">
        <v>61</v>
      </c>
      <c r="B3441" t="s">
        <v>984</v>
      </c>
      <c r="C3441" t="s">
        <v>10817</v>
      </c>
      <c r="D3441" t="s">
        <v>10818</v>
      </c>
      <c r="E3441" t="s">
        <v>1060</v>
      </c>
      <c r="F3441" t="s">
        <v>5</v>
      </c>
      <c r="G3441" t="s">
        <v>12</v>
      </c>
      <c r="H3441">
        <f>20887*(1.01^10)</f>
        <v>23072.242333463833</v>
      </c>
      <c r="I3441">
        <f>101614*(1.01^10)</f>
        <v>112245.07265153415</v>
      </c>
      <c r="J3441" t="s">
        <v>10819</v>
      </c>
      <c r="K3441">
        <f t="shared" si="53"/>
        <v>305.59515194361023</v>
      </c>
    </row>
    <row r="3442" spans="1:11" x14ac:dyDescent="0.2">
      <c r="A3442" t="s">
        <v>61</v>
      </c>
      <c r="B3442" t="s">
        <v>984</v>
      </c>
      <c r="C3442" t="s">
        <v>10820</v>
      </c>
      <c r="D3442" t="s">
        <v>10821</v>
      </c>
      <c r="E3442" t="s">
        <v>148</v>
      </c>
      <c r="F3442" t="s">
        <v>356</v>
      </c>
      <c r="G3442" t="s">
        <v>24</v>
      </c>
      <c r="H3442">
        <f>22277*(1.01^10)</f>
        <v>24607.667087785409</v>
      </c>
      <c r="I3442">
        <f>108261*(1.01^10)</f>
        <v>119587.49591914244</v>
      </c>
      <c r="J3442" t="s">
        <v>10822</v>
      </c>
      <c r="K3442">
        <f t="shared" si="53"/>
        <v>54.203931511473215</v>
      </c>
    </row>
    <row r="3443" spans="1:11" x14ac:dyDescent="0.2">
      <c r="A3443" t="s">
        <v>61</v>
      </c>
      <c r="B3443" t="s">
        <v>905</v>
      </c>
      <c r="C3443" t="s">
        <v>10823</v>
      </c>
      <c r="D3443" t="s">
        <v>10824</v>
      </c>
      <c r="E3443" t="s">
        <v>1106</v>
      </c>
      <c r="F3443" t="s">
        <v>17</v>
      </c>
      <c r="G3443" t="s">
        <v>12</v>
      </c>
      <c r="H3443">
        <f>48187*(1.01^10)</f>
        <v>53228.426357189725</v>
      </c>
      <c r="I3443">
        <f>258689*(1.01^10)</f>
        <v>285753.59300049912</v>
      </c>
      <c r="J3443" t="s">
        <v>10825</v>
      </c>
      <c r="K3443">
        <f t="shared" si="53"/>
        <v>532.53889750706389</v>
      </c>
    </row>
    <row r="3444" spans="1:11" x14ac:dyDescent="0.2">
      <c r="A3444" t="s">
        <v>61</v>
      </c>
      <c r="B3444" t="s">
        <v>905</v>
      </c>
      <c r="C3444" t="s">
        <v>10826</v>
      </c>
      <c r="D3444" t="s">
        <v>10827</v>
      </c>
      <c r="E3444" t="s">
        <v>1362</v>
      </c>
      <c r="F3444" t="s">
        <v>5</v>
      </c>
      <c r="G3444" t="s">
        <v>12</v>
      </c>
      <c r="H3444">
        <f>40835*(1.01^10)</f>
        <v>45107.244491166544</v>
      </c>
      <c r="I3444">
        <f>231154*(1.01^10)</f>
        <v>255337.82277730163</v>
      </c>
      <c r="J3444" t="s">
        <v>10828</v>
      </c>
      <c r="K3444">
        <f t="shared" si="53"/>
        <v>486.33327812307658</v>
      </c>
    </row>
    <row r="3445" spans="1:11" x14ac:dyDescent="0.2">
      <c r="A3445" t="s">
        <v>61</v>
      </c>
      <c r="B3445" t="s">
        <v>905</v>
      </c>
      <c r="C3445" t="s">
        <v>10829</v>
      </c>
      <c r="D3445" t="s">
        <v>10830</v>
      </c>
      <c r="E3445" t="s">
        <v>123</v>
      </c>
      <c r="F3445" t="s">
        <v>11</v>
      </c>
      <c r="G3445" t="s">
        <v>11</v>
      </c>
      <c r="H3445">
        <f>106621*(1.01^10)</f>
        <v>117775.91563346806</v>
      </c>
      <c r="I3445">
        <f>625004*(1.01^10)</f>
        <v>690393.24687050458</v>
      </c>
      <c r="J3445" t="s">
        <v>10831</v>
      </c>
      <c r="K3445">
        <f t="shared" si="53"/>
        <v>644.84783786993978</v>
      </c>
    </row>
    <row r="3446" spans="1:11" x14ac:dyDescent="0.2">
      <c r="A3446" t="s">
        <v>61</v>
      </c>
      <c r="B3446" t="s">
        <v>905</v>
      </c>
      <c r="C3446" t="s">
        <v>10832</v>
      </c>
      <c r="D3446" t="s">
        <v>10833</v>
      </c>
      <c r="E3446" t="s">
        <v>2726</v>
      </c>
      <c r="F3446" t="s">
        <v>44</v>
      </c>
      <c r="G3446" t="s">
        <v>12</v>
      </c>
      <c r="H3446">
        <f>84648*(1.01^10)</f>
        <v>93504.053671807662</v>
      </c>
      <c r="I3446">
        <f>440264*(1.01^10)</f>
        <v>486325.35542203864</v>
      </c>
      <c r="J3446" t="s">
        <v>10834</v>
      </c>
      <c r="K3446">
        <f t="shared" si="53"/>
        <v>307.90760296194674</v>
      </c>
    </row>
    <row r="3447" spans="1:11" x14ac:dyDescent="0.2">
      <c r="A3447" t="s">
        <v>61</v>
      </c>
      <c r="B3447" t="s">
        <v>905</v>
      </c>
      <c r="C3447" t="s">
        <v>10835</v>
      </c>
      <c r="D3447" t="s">
        <v>10836</v>
      </c>
      <c r="E3447" t="s">
        <v>1002</v>
      </c>
      <c r="F3447" t="s">
        <v>24</v>
      </c>
      <c r="G3447" t="s">
        <v>12</v>
      </c>
      <c r="H3447">
        <f>36738*(1.01^10)</f>
        <v>40581.607643356838</v>
      </c>
      <c r="I3447">
        <f>191665*(1.01^10)</f>
        <v>211717.39966693855</v>
      </c>
      <c r="J3447" t="s">
        <v>10837</v>
      </c>
      <c r="K3447">
        <f t="shared" si="53"/>
        <v>417.73008988724501</v>
      </c>
    </row>
    <row r="3448" spans="1:11" x14ac:dyDescent="0.2">
      <c r="A3448" t="s">
        <v>61</v>
      </c>
      <c r="B3448" t="s">
        <v>905</v>
      </c>
      <c r="C3448" t="s">
        <v>10838</v>
      </c>
      <c r="D3448" t="s">
        <v>10839</v>
      </c>
      <c r="E3448" t="s">
        <v>399</v>
      </c>
      <c r="F3448" t="s">
        <v>274</v>
      </c>
      <c r="G3448" t="s">
        <v>17</v>
      </c>
      <c r="H3448">
        <f>45617*(1.01^10)</f>
        <v>50389.547494882929</v>
      </c>
      <c r="I3448">
        <f>219194*(1.01^10)</f>
        <v>242126.54215738361</v>
      </c>
      <c r="J3448" t="s">
        <v>10840</v>
      </c>
      <c r="K3448">
        <f t="shared" si="53"/>
        <v>314.25675370603528</v>
      </c>
    </row>
    <row r="3449" spans="1:11" x14ac:dyDescent="0.2">
      <c r="A3449" t="s">
        <v>61</v>
      </c>
      <c r="B3449" t="s">
        <v>481</v>
      </c>
      <c r="C3449" t="s">
        <v>10841</v>
      </c>
      <c r="D3449" t="s">
        <v>10842</v>
      </c>
      <c r="E3449" t="s">
        <v>977</v>
      </c>
      <c r="F3449" t="s">
        <v>158</v>
      </c>
      <c r="G3449" t="s">
        <v>24</v>
      </c>
      <c r="H3449">
        <f>24368*(1.01^10)</f>
        <v>26917.431952020237</v>
      </c>
      <c r="I3449">
        <f>139378*(1.01^10)</f>
        <v>153960.02259556288</v>
      </c>
      <c r="J3449" t="s">
        <v>10843</v>
      </c>
      <c r="K3449">
        <f t="shared" si="53"/>
        <v>344.37400507112864</v>
      </c>
    </row>
    <row r="3450" spans="1:11" x14ac:dyDescent="0.2">
      <c r="A3450" t="s">
        <v>61</v>
      </c>
      <c r="B3450" t="s">
        <v>481</v>
      </c>
      <c r="C3450" t="s">
        <v>10844</v>
      </c>
      <c r="D3450" t="s">
        <v>10845</v>
      </c>
      <c r="E3450" t="s">
        <v>809</v>
      </c>
      <c r="F3450" t="s">
        <v>152</v>
      </c>
      <c r="G3450" t="s">
        <v>11</v>
      </c>
      <c r="H3450">
        <f>90501*(1.01^10)</f>
        <v>99969.406971839446</v>
      </c>
      <c r="I3450">
        <f>538189*(1.01^10)</f>
        <v>594495.47705293086</v>
      </c>
      <c r="J3450" t="s">
        <v>10846</v>
      </c>
      <c r="K3450">
        <f t="shared" si="53"/>
        <v>499.98820844191761</v>
      </c>
    </row>
    <row r="3451" spans="1:11" x14ac:dyDescent="0.2">
      <c r="A3451" t="s">
        <v>61</v>
      </c>
      <c r="B3451" t="s">
        <v>481</v>
      </c>
      <c r="C3451" t="s">
        <v>10847</v>
      </c>
      <c r="D3451" t="s">
        <v>10848</v>
      </c>
      <c r="E3451" t="s">
        <v>703</v>
      </c>
      <c r="F3451" t="s">
        <v>17</v>
      </c>
      <c r="G3451" t="s">
        <v>12</v>
      </c>
      <c r="H3451">
        <f>35510*(1.01^10)</f>
        <v>39225.131673351883</v>
      </c>
      <c r="I3451">
        <f>198343*(1.01^10)</f>
        <v>219094.06622043459</v>
      </c>
      <c r="J3451" t="s">
        <v>10849</v>
      </c>
      <c r="K3451">
        <f t="shared" si="53"/>
        <v>383.92580643725671</v>
      </c>
    </row>
    <row r="3452" spans="1:11" x14ac:dyDescent="0.2">
      <c r="A3452" t="s">
        <v>61</v>
      </c>
      <c r="B3452" t="s">
        <v>481</v>
      </c>
      <c r="C3452" t="s">
        <v>10850</v>
      </c>
      <c r="D3452" t="s">
        <v>10851</v>
      </c>
      <c r="E3452" t="s">
        <v>51</v>
      </c>
      <c r="F3452" t="s">
        <v>17</v>
      </c>
      <c r="G3452" t="s">
        <v>12</v>
      </c>
      <c r="H3452">
        <f>21914*(1.01^10)</f>
        <v>24206.689256261139</v>
      </c>
      <c r="I3452">
        <f>128774*(1.01^10)</f>
        <v>142246.60957770247</v>
      </c>
      <c r="J3452" t="s">
        <v>10852</v>
      </c>
      <c r="K3452">
        <f t="shared" si="53"/>
        <v>354.22021787891896</v>
      </c>
    </row>
    <row r="3453" spans="1:11" x14ac:dyDescent="0.2">
      <c r="A3453" t="s">
        <v>61</v>
      </c>
      <c r="B3453" t="s">
        <v>481</v>
      </c>
      <c r="C3453" t="s">
        <v>10853</v>
      </c>
      <c r="D3453" t="s">
        <v>10854</v>
      </c>
      <c r="E3453" t="s">
        <v>444</v>
      </c>
      <c r="F3453" t="s">
        <v>6</v>
      </c>
      <c r="G3453" t="s">
        <v>11</v>
      </c>
      <c r="H3453">
        <f>57702*(1.01^10)</f>
        <v>63738.905880477338</v>
      </c>
      <c r="I3453">
        <f>316826*(1.01^10)</f>
        <v>349973.00950553035</v>
      </c>
      <c r="J3453" t="s">
        <v>10855</v>
      </c>
      <c r="K3453">
        <f t="shared" si="53"/>
        <v>339.79061355724434</v>
      </c>
    </row>
    <row r="3454" spans="1:11" x14ac:dyDescent="0.2">
      <c r="A3454" t="s">
        <v>61</v>
      </c>
      <c r="B3454" t="s">
        <v>481</v>
      </c>
      <c r="C3454" t="s">
        <v>10856</v>
      </c>
      <c r="D3454" t="s">
        <v>10857</v>
      </c>
      <c r="E3454" t="s">
        <v>789</v>
      </c>
      <c r="F3454" t="s">
        <v>11</v>
      </c>
      <c r="G3454" t="s">
        <v>24</v>
      </c>
      <c r="H3454">
        <f>13755*(1.01^10)</f>
        <v>15194.077335031121</v>
      </c>
      <c r="I3454">
        <f>78005*(1.01^10)</f>
        <v>86166.04889270103</v>
      </c>
      <c r="J3454" t="s">
        <v>10858</v>
      </c>
      <c r="K3454">
        <f t="shared" si="53"/>
        <v>340.56512365779145</v>
      </c>
    </row>
    <row r="3455" spans="1:11" x14ac:dyDescent="0.2">
      <c r="A3455" t="s">
        <v>61</v>
      </c>
      <c r="B3455" t="s">
        <v>481</v>
      </c>
      <c r="C3455" t="s">
        <v>10859</v>
      </c>
      <c r="D3455" t="s">
        <v>10860</v>
      </c>
      <c r="E3455" t="s">
        <v>674</v>
      </c>
      <c r="F3455" t="s">
        <v>92</v>
      </c>
      <c r="G3455" t="s">
        <v>12</v>
      </c>
      <c r="H3455">
        <f>16274*(1.01^10)</f>
        <v>17976.620468941946</v>
      </c>
      <c r="I3455">
        <f>89442*(1.01^10)</f>
        <v>98799.612141028978</v>
      </c>
      <c r="J3455" t="s">
        <v>10861</v>
      </c>
      <c r="K3455">
        <f t="shared" si="53"/>
        <v>576.79898710354666</v>
      </c>
    </row>
    <row r="3456" spans="1:11" x14ac:dyDescent="0.2">
      <c r="A3456" t="s">
        <v>61</v>
      </c>
      <c r="B3456" t="s">
        <v>481</v>
      </c>
      <c r="C3456" t="s">
        <v>10862</v>
      </c>
      <c r="D3456" t="s">
        <v>10863</v>
      </c>
      <c r="E3456" t="s">
        <v>1295</v>
      </c>
      <c r="F3456" t="s">
        <v>318</v>
      </c>
      <c r="G3456" t="s">
        <v>11</v>
      </c>
      <c r="H3456">
        <f>39209*(1.01^10)</f>
        <v>43311.128915247929</v>
      </c>
      <c r="I3456">
        <f>214048*(1.01^10)</f>
        <v>236442.15670001754</v>
      </c>
      <c r="J3456" t="s">
        <v>10864</v>
      </c>
      <c r="K3456">
        <f t="shared" si="53"/>
        <v>596.47081381668158</v>
      </c>
    </row>
    <row r="3457" spans="1:11" x14ac:dyDescent="0.2">
      <c r="A3457" t="s">
        <v>61</v>
      </c>
      <c r="B3457" t="s">
        <v>2103</v>
      </c>
      <c r="C3457" t="s">
        <v>10865</v>
      </c>
      <c r="D3457" t="s">
        <v>10866</v>
      </c>
      <c r="E3457" t="s">
        <v>361</v>
      </c>
      <c r="F3457" t="s">
        <v>427</v>
      </c>
      <c r="G3457" t="s">
        <v>17</v>
      </c>
      <c r="H3457">
        <f>281498*(1.01^10)</f>
        <v>310948.9190590033</v>
      </c>
      <c r="I3457">
        <f>1495487*(1.01^10)</f>
        <v>1651948.0284648263</v>
      </c>
      <c r="J3457" t="s">
        <v>10867</v>
      </c>
      <c r="K3457">
        <f t="shared" si="53"/>
        <v>619.20823675855013</v>
      </c>
    </row>
    <row r="3458" spans="1:11" x14ac:dyDescent="0.2">
      <c r="A3458" t="s">
        <v>61</v>
      </c>
      <c r="B3458" t="s">
        <v>2103</v>
      </c>
      <c r="C3458" t="s">
        <v>10868</v>
      </c>
      <c r="D3458" t="s">
        <v>10869</v>
      </c>
      <c r="E3458" t="s">
        <v>413</v>
      </c>
      <c r="F3458" t="s">
        <v>5</v>
      </c>
      <c r="G3458" t="s">
        <v>6</v>
      </c>
      <c r="H3458">
        <f>61741*(1.01^10)</f>
        <v>68200.474645013193</v>
      </c>
      <c r="I3458">
        <f>324569*(1.01^10)</f>
        <v>358526.09862258931</v>
      </c>
      <c r="J3458" t="s">
        <v>10870</v>
      </c>
      <c r="K3458">
        <f t="shared" si="53"/>
        <v>363.78843693198962</v>
      </c>
    </row>
    <row r="3459" spans="1:11" x14ac:dyDescent="0.2">
      <c r="A3459" t="s">
        <v>61</v>
      </c>
      <c r="B3459" t="s">
        <v>2103</v>
      </c>
      <c r="C3459" t="s">
        <v>10871</v>
      </c>
      <c r="D3459" t="s">
        <v>10872</v>
      </c>
      <c r="E3459" t="s">
        <v>1229</v>
      </c>
      <c r="F3459" t="s">
        <v>158</v>
      </c>
      <c r="G3459" t="s">
        <v>12</v>
      </c>
      <c r="H3459">
        <f>21135*(1.01^10)</f>
        <v>23346.188620565812</v>
      </c>
      <c r="I3459">
        <f>108726*(1.01^10)</f>
        <v>120101.14520745864</v>
      </c>
      <c r="J3459" t="s">
        <v>10873</v>
      </c>
      <c r="K3459">
        <f t="shared" ref="K3459:K3522" si="54">I3459/J3459</f>
        <v>293.98769228344185</v>
      </c>
    </row>
    <row r="3460" spans="1:11" x14ac:dyDescent="0.2">
      <c r="A3460" t="s">
        <v>61</v>
      </c>
      <c r="B3460" t="s">
        <v>2103</v>
      </c>
      <c r="C3460" t="s">
        <v>10874</v>
      </c>
      <c r="D3460" t="s">
        <v>10875</v>
      </c>
      <c r="E3460" t="s">
        <v>1229</v>
      </c>
      <c r="F3460" t="s">
        <v>12</v>
      </c>
      <c r="G3460" t="s">
        <v>12</v>
      </c>
      <c r="H3460">
        <f>19471*(1.01^10)</f>
        <v>21508.097403881569</v>
      </c>
      <c r="I3460">
        <f>103254*(1.01^10)</f>
        <v>114056.65293720854</v>
      </c>
      <c r="J3460" t="s">
        <v>10876</v>
      </c>
      <c r="K3460">
        <f t="shared" si="54"/>
        <v>228.98450307926433</v>
      </c>
    </row>
    <row r="3461" spans="1:11" x14ac:dyDescent="0.2">
      <c r="A3461" t="s">
        <v>61</v>
      </c>
      <c r="B3461" t="s">
        <v>10877</v>
      </c>
      <c r="C3461" t="s">
        <v>10878</v>
      </c>
      <c r="D3461" t="s">
        <v>10879</v>
      </c>
      <c r="E3461" t="s">
        <v>32</v>
      </c>
      <c r="F3461" t="s">
        <v>318</v>
      </c>
      <c r="G3461" t="s">
        <v>12</v>
      </c>
      <c r="H3461">
        <f>22505*(1.01^10)</f>
        <v>24859.520932379164</v>
      </c>
      <c r="I3461">
        <f>116232*(1.01^10)</f>
        <v>128392.43888079515</v>
      </c>
      <c r="J3461" t="s">
        <v>10880</v>
      </c>
      <c r="K3461">
        <f t="shared" si="54"/>
        <v>267.75388248313868</v>
      </c>
    </row>
    <row r="3462" spans="1:11" x14ac:dyDescent="0.2">
      <c r="A3462" t="s">
        <v>61</v>
      </c>
      <c r="B3462" t="s">
        <v>10877</v>
      </c>
      <c r="C3462" t="s">
        <v>10881</v>
      </c>
      <c r="D3462" t="s">
        <v>10882</v>
      </c>
      <c r="E3462" t="s">
        <v>489</v>
      </c>
      <c r="F3462" t="s">
        <v>405</v>
      </c>
      <c r="G3462" t="s">
        <v>12</v>
      </c>
      <c r="H3462">
        <f>27102*(1.01^10)</f>
        <v>29937.468842894472</v>
      </c>
      <c r="I3462">
        <f>136921*(1.01^10)</f>
        <v>151245.96603342757</v>
      </c>
      <c r="J3462" t="s">
        <v>10883</v>
      </c>
      <c r="K3462">
        <f t="shared" si="54"/>
        <v>276.78736248820854</v>
      </c>
    </row>
    <row r="3463" spans="1:11" x14ac:dyDescent="0.2">
      <c r="A3463" t="s">
        <v>61</v>
      </c>
      <c r="B3463" t="s">
        <v>10877</v>
      </c>
      <c r="C3463" t="s">
        <v>10884</v>
      </c>
      <c r="D3463" t="s">
        <v>10885</v>
      </c>
      <c r="E3463" t="s">
        <v>718</v>
      </c>
      <c r="F3463" t="s">
        <v>6</v>
      </c>
      <c r="G3463" t="s">
        <v>17</v>
      </c>
      <c r="H3463">
        <f>78434*(1.01^10)</f>
        <v>86639.931784502434</v>
      </c>
      <c r="I3463">
        <f>373772*(1.01^10)</f>
        <v>412876.82105919684</v>
      </c>
      <c r="J3463" t="s">
        <v>10886</v>
      </c>
      <c r="K3463">
        <f t="shared" si="54"/>
        <v>342.41740175922342</v>
      </c>
    </row>
    <row r="3464" spans="1:11" x14ac:dyDescent="0.2">
      <c r="A3464" t="s">
        <v>61</v>
      </c>
      <c r="B3464" t="s">
        <v>10877</v>
      </c>
      <c r="C3464" t="s">
        <v>10887</v>
      </c>
      <c r="D3464" t="s">
        <v>10888</v>
      </c>
      <c r="E3464" t="s">
        <v>759</v>
      </c>
      <c r="F3464" t="s">
        <v>318</v>
      </c>
      <c r="G3464" t="s">
        <v>12</v>
      </c>
      <c r="H3464">
        <f>32174*(1.01^10)</f>
        <v>35540.112262980103</v>
      </c>
      <c r="I3464">
        <f>159829*(1.01^10)</f>
        <v>176550.64968234743</v>
      </c>
      <c r="J3464" t="s">
        <v>10889</v>
      </c>
      <c r="K3464">
        <f t="shared" si="54"/>
        <v>263.39566286761493</v>
      </c>
    </row>
    <row r="3465" spans="1:11" x14ac:dyDescent="0.2">
      <c r="A3465" t="s">
        <v>61</v>
      </c>
      <c r="B3465" t="s">
        <v>1585</v>
      </c>
      <c r="C3465" t="s">
        <v>10890</v>
      </c>
      <c r="D3465" t="s">
        <v>10891</v>
      </c>
      <c r="E3465" t="s">
        <v>621</v>
      </c>
      <c r="F3465" t="s">
        <v>44</v>
      </c>
      <c r="G3465" t="s">
        <v>24</v>
      </c>
      <c r="H3465">
        <f>44753*(1.01^10)</f>
        <v>49435.153978527647</v>
      </c>
      <c r="I3465">
        <f>207352*(1.01^10)</f>
        <v>229045.60694826412</v>
      </c>
      <c r="J3465" t="s">
        <v>10892</v>
      </c>
      <c r="K3465">
        <f t="shared" si="54"/>
        <v>147.66007357331145</v>
      </c>
    </row>
    <row r="3466" spans="1:11" x14ac:dyDescent="0.2">
      <c r="A3466" t="s">
        <v>61</v>
      </c>
      <c r="B3466" t="s">
        <v>1585</v>
      </c>
      <c r="C3466" t="s">
        <v>10893</v>
      </c>
      <c r="D3466" t="s">
        <v>10894</v>
      </c>
      <c r="E3466" t="s">
        <v>385</v>
      </c>
      <c r="F3466" t="s">
        <v>1506</v>
      </c>
      <c r="G3466" t="s">
        <v>12</v>
      </c>
      <c r="H3466">
        <f>66519*(1.01^10)</f>
        <v>73478.359160227934</v>
      </c>
      <c r="I3466">
        <f>340852*(1.01^10)</f>
        <v>376512.66069065995</v>
      </c>
      <c r="J3466" t="s">
        <v>10895</v>
      </c>
      <c r="K3466">
        <f t="shared" si="54"/>
        <v>194.3455635033674</v>
      </c>
    </row>
    <row r="3467" spans="1:11" x14ac:dyDescent="0.2">
      <c r="A3467" t="s">
        <v>61</v>
      </c>
      <c r="B3467" t="s">
        <v>1585</v>
      </c>
      <c r="C3467" t="s">
        <v>10896</v>
      </c>
      <c r="D3467" t="s">
        <v>10897</v>
      </c>
      <c r="E3467" t="s">
        <v>1352</v>
      </c>
      <c r="F3467" t="s">
        <v>108</v>
      </c>
      <c r="G3467" t="s">
        <v>12</v>
      </c>
      <c r="H3467">
        <f>38337*(1.01^10)</f>
        <v>42347.898421889353</v>
      </c>
      <c r="I3467">
        <f>198927*(1.01^10)</f>
        <v>219739.16554167474</v>
      </c>
      <c r="J3467" t="s">
        <v>10898</v>
      </c>
      <c r="K3467">
        <f t="shared" si="54"/>
        <v>234.48745010868981</v>
      </c>
    </row>
    <row r="3468" spans="1:11" x14ac:dyDescent="0.2">
      <c r="A3468" t="s">
        <v>61</v>
      </c>
      <c r="B3468" t="s">
        <v>1585</v>
      </c>
      <c r="C3468" t="s">
        <v>10899</v>
      </c>
      <c r="D3468" t="s">
        <v>10900</v>
      </c>
      <c r="E3468" t="s">
        <v>977</v>
      </c>
      <c r="F3468" t="s">
        <v>11</v>
      </c>
      <c r="G3468" t="s">
        <v>12</v>
      </c>
      <c r="H3468">
        <f>39501*(1.01^10)</f>
        <v>43633.678575867998</v>
      </c>
      <c r="I3468">
        <f>194319*(1.01^10)</f>
        <v>214649.06678777988</v>
      </c>
      <c r="J3468" t="s">
        <v>10901</v>
      </c>
      <c r="K3468">
        <f t="shared" si="54"/>
        <v>212.21995466003116</v>
      </c>
    </row>
    <row r="3469" spans="1:11" x14ac:dyDescent="0.2">
      <c r="A3469" t="s">
        <v>61</v>
      </c>
      <c r="B3469" t="s">
        <v>1585</v>
      </c>
      <c r="C3469" t="s">
        <v>10902</v>
      </c>
      <c r="D3469" t="s">
        <v>10903</v>
      </c>
      <c r="E3469" t="s">
        <v>2553</v>
      </c>
      <c r="F3469" t="s">
        <v>726</v>
      </c>
      <c r="G3469" t="s">
        <v>12</v>
      </c>
      <c r="H3469">
        <f>36148*(1.01^10)</f>
        <v>39929.880589364227</v>
      </c>
      <c r="I3469">
        <f>163286*(1.01^10)</f>
        <v>180369.32836989398</v>
      </c>
      <c r="J3469" t="s">
        <v>10904</v>
      </c>
      <c r="K3469">
        <f t="shared" si="54"/>
        <v>151.74961835609616</v>
      </c>
    </row>
    <row r="3470" spans="1:11" x14ac:dyDescent="0.2">
      <c r="A3470" t="s">
        <v>61</v>
      </c>
      <c r="B3470" t="s">
        <v>1585</v>
      </c>
      <c r="C3470" t="s">
        <v>10905</v>
      </c>
      <c r="D3470" t="s">
        <v>10906</v>
      </c>
      <c r="E3470" t="s">
        <v>759</v>
      </c>
      <c r="F3470" t="s">
        <v>5</v>
      </c>
      <c r="G3470" t="s">
        <v>12</v>
      </c>
      <c r="H3470">
        <f>39335*(1.01^10)</f>
        <v>43450.311303049741</v>
      </c>
      <c r="I3470">
        <f>177752*(1.01^10)</f>
        <v>196348.79203609246</v>
      </c>
      <c r="J3470" t="s">
        <v>10907</v>
      </c>
      <c r="K3470">
        <f t="shared" si="54"/>
        <v>181.48271482195042</v>
      </c>
    </row>
    <row r="3471" spans="1:11" x14ac:dyDescent="0.2">
      <c r="A3471" t="s">
        <v>61</v>
      </c>
      <c r="B3471" t="s">
        <v>1585</v>
      </c>
      <c r="C3471" t="s">
        <v>10908</v>
      </c>
      <c r="D3471" t="s">
        <v>10909</v>
      </c>
      <c r="E3471" t="s">
        <v>347</v>
      </c>
      <c r="F3471" t="s">
        <v>318</v>
      </c>
      <c r="G3471" t="s">
        <v>12</v>
      </c>
      <c r="H3471">
        <f>55760*(1.01^10)</f>
        <v>61593.729712928776</v>
      </c>
      <c r="I3471">
        <f>259685*(1.01^10)</f>
        <v>286853.79663740873</v>
      </c>
      <c r="J3471" t="s">
        <v>10910</v>
      </c>
      <c r="K3471">
        <f t="shared" si="54"/>
        <v>204.07551455794791</v>
      </c>
    </row>
    <row r="3472" spans="1:11" x14ac:dyDescent="0.2">
      <c r="A3472" t="s">
        <v>61</v>
      </c>
      <c r="B3472" t="s">
        <v>1585</v>
      </c>
      <c r="C3472" t="s">
        <v>10911</v>
      </c>
      <c r="D3472" t="s">
        <v>10912</v>
      </c>
      <c r="E3472" t="s">
        <v>2777</v>
      </c>
      <c r="F3472" t="s">
        <v>92</v>
      </c>
      <c r="G3472" t="s">
        <v>12</v>
      </c>
      <c r="H3472">
        <f>39616*(1.01^10)</f>
        <v>43760.710120290285</v>
      </c>
      <c r="I3472">
        <f>183877*(1.01^10)</f>
        <v>203114.6025542361</v>
      </c>
      <c r="J3472" t="s">
        <v>10913</v>
      </c>
      <c r="K3472">
        <f t="shared" si="54"/>
        <v>213.17376634362802</v>
      </c>
    </row>
    <row r="3473" spans="1:11" x14ac:dyDescent="0.2">
      <c r="A3473" t="s">
        <v>61</v>
      </c>
      <c r="B3473" t="s">
        <v>1721</v>
      </c>
      <c r="C3473" t="s">
        <v>10914</v>
      </c>
      <c r="D3473" t="s">
        <v>10915</v>
      </c>
      <c r="E3473" t="s">
        <v>1387</v>
      </c>
      <c r="F3473" t="s">
        <v>44</v>
      </c>
      <c r="G3473" t="s">
        <v>17</v>
      </c>
      <c r="H3473">
        <f>34088*(1.01^10)</f>
        <v>37654.35901101715</v>
      </c>
      <c r="I3473">
        <f>167893*(1.01^10)</f>
        <v>185458.32250166341</v>
      </c>
      <c r="J3473" t="s">
        <v>10916</v>
      </c>
      <c r="K3473">
        <f t="shared" si="54"/>
        <v>465.524276772208</v>
      </c>
    </row>
    <row r="3474" spans="1:11" x14ac:dyDescent="0.2">
      <c r="A3474" t="s">
        <v>61</v>
      </c>
      <c r="B3474" t="s">
        <v>1721</v>
      </c>
      <c r="C3474" t="s">
        <v>10917</v>
      </c>
      <c r="D3474" t="s">
        <v>10773</v>
      </c>
      <c r="E3474" t="s">
        <v>103</v>
      </c>
      <c r="F3474" t="s">
        <v>17</v>
      </c>
      <c r="G3474" t="s">
        <v>12</v>
      </c>
      <c r="H3474">
        <f>9625*(1.01^10)</f>
        <v>10631.987957082845</v>
      </c>
      <c r="I3474">
        <f>47358*(1.01^10)</f>
        <v>52312.694615223838</v>
      </c>
      <c r="J3474" t="s">
        <v>10918</v>
      </c>
      <c r="K3474">
        <f t="shared" si="54"/>
        <v>264.54071636666504</v>
      </c>
    </row>
    <row r="3475" spans="1:11" x14ac:dyDescent="0.2">
      <c r="A3475" t="s">
        <v>61</v>
      </c>
      <c r="B3475" t="s">
        <v>1721</v>
      </c>
      <c r="C3475" t="s">
        <v>10919</v>
      </c>
      <c r="D3475" t="s">
        <v>10920</v>
      </c>
      <c r="E3475" t="s">
        <v>390</v>
      </c>
      <c r="F3475" t="s">
        <v>405</v>
      </c>
      <c r="G3475" t="s">
        <v>17</v>
      </c>
      <c r="H3475">
        <f>39787*(1.01^10)</f>
        <v>43949.600503735601</v>
      </c>
      <c r="I3475">
        <f>189556*(1.01^10)</f>
        <v>209387.75160444633</v>
      </c>
      <c r="J3475" t="s">
        <v>10921</v>
      </c>
      <c r="K3475">
        <f t="shared" si="54"/>
        <v>288.74971945410653</v>
      </c>
    </row>
    <row r="3476" spans="1:11" x14ac:dyDescent="0.2">
      <c r="A3476" t="s">
        <v>61</v>
      </c>
      <c r="B3476" t="s">
        <v>1721</v>
      </c>
      <c r="C3476" t="s">
        <v>10922</v>
      </c>
      <c r="D3476" t="s">
        <v>10923</v>
      </c>
      <c r="E3476" t="s">
        <v>1223</v>
      </c>
      <c r="F3476" t="s">
        <v>744</v>
      </c>
      <c r="G3476" t="s">
        <v>17</v>
      </c>
      <c r="H3476">
        <f>40754*(1.01^10)</f>
        <v>45017.770099008238</v>
      </c>
      <c r="I3476">
        <f>198490*(1.01^10)</f>
        <v>219256.44567287003</v>
      </c>
      <c r="J3476" t="s">
        <v>10924</v>
      </c>
      <c r="K3476">
        <f t="shared" si="54"/>
        <v>337.54482885905679</v>
      </c>
    </row>
    <row r="3477" spans="1:11" x14ac:dyDescent="0.2">
      <c r="A3477" t="s">
        <v>61</v>
      </c>
      <c r="B3477" t="s">
        <v>1721</v>
      </c>
      <c r="C3477" t="s">
        <v>10925</v>
      </c>
      <c r="D3477" t="s">
        <v>10926</v>
      </c>
      <c r="E3477" t="s">
        <v>542</v>
      </c>
      <c r="F3477" t="s">
        <v>318</v>
      </c>
      <c r="G3477" t="s">
        <v>24</v>
      </c>
      <c r="H3477">
        <f>19268*(1.01^10)</f>
        <v>21283.859112423092</v>
      </c>
      <c r="I3477">
        <f>88631*(1.01^10)</f>
        <v>97903.763597320489</v>
      </c>
      <c r="J3477" t="s">
        <v>10927</v>
      </c>
      <c r="K3477">
        <f t="shared" si="54"/>
        <v>224.68483263640755</v>
      </c>
    </row>
    <row r="3478" spans="1:11" x14ac:dyDescent="0.2">
      <c r="A3478" t="s">
        <v>61</v>
      </c>
      <c r="B3478" t="s">
        <v>1721</v>
      </c>
      <c r="C3478" t="s">
        <v>10928</v>
      </c>
      <c r="D3478" t="s">
        <v>10929</v>
      </c>
      <c r="E3478" t="s">
        <v>1233</v>
      </c>
      <c r="F3478" t="s">
        <v>318</v>
      </c>
      <c r="G3478" t="s">
        <v>12</v>
      </c>
      <c r="H3478">
        <f>41616*(1.01^10)</f>
        <v>45969.954371112697</v>
      </c>
      <c r="I3478">
        <f>213540*(1.01^10)</f>
        <v>235881.00866030867</v>
      </c>
      <c r="J3478" t="s">
        <v>10930</v>
      </c>
      <c r="K3478">
        <f t="shared" si="54"/>
        <v>285.6448415419178</v>
      </c>
    </row>
    <row r="3479" spans="1:11" x14ac:dyDescent="0.2">
      <c r="A3479" t="s">
        <v>61</v>
      </c>
      <c r="B3479" t="s">
        <v>1721</v>
      </c>
      <c r="C3479" t="s">
        <v>10931</v>
      </c>
      <c r="D3479" t="s">
        <v>10932</v>
      </c>
      <c r="E3479" t="s">
        <v>324</v>
      </c>
      <c r="F3479" t="s">
        <v>744</v>
      </c>
      <c r="G3479" t="s">
        <v>12</v>
      </c>
      <c r="H3479">
        <f>26901*(1.01^10)</f>
        <v>29715.43979568682</v>
      </c>
      <c r="I3479">
        <f>123125*(1.01^10)</f>
        <v>136006.59919125459</v>
      </c>
      <c r="J3479" t="s">
        <v>10933</v>
      </c>
      <c r="K3479">
        <f t="shared" si="54"/>
        <v>303.47464146142033</v>
      </c>
    </row>
    <row r="3480" spans="1:11" x14ac:dyDescent="0.2">
      <c r="A3480" t="s">
        <v>61</v>
      </c>
      <c r="B3480" t="s">
        <v>1721</v>
      </c>
      <c r="C3480" t="s">
        <v>10934</v>
      </c>
      <c r="D3480" t="s">
        <v>10935</v>
      </c>
      <c r="E3480" t="s">
        <v>67</v>
      </c>
      <c r="F3480" t="s">
        <v>17</v>
      </c>
      <c r="G3480" t="s">
        <v>12</v>
      </c>
      <c r="H3480">
        <f>24313*(1.01^10)</f>
        <v>26856.677735122623</v>
      </c>
      <c r="I3480">
        <f>114859*(1.01^10)</f>
        <v>126875.79270260557</v>
      </c>
      <c r="J3480" t="s">
        <v>10936</v>
      </c>
      <c r="K3480">
        <f t="shared" si="54"/>
        <v>277.66257826831298</v>
      </c>
    </row>
    <row r="3481" spans="1:11" x14ac:dyDescent="0.2">
      <c r="A3481" t="s">
        <v>61</v>
      </c>
      <c r="B3481" t="s">
        <v>1721</v>
      </c>
      <c r="C3481" t="s">
        <v>10937</v>
      </c>
      <c r="D3481" t="s">
        <v>10938</v>
      </c>
      <c r="E3481" t="s">
        <v>2873</v>
      </c>
      <c r="F3481" t="s">
        <v>744</v>
      </c>
      <c r="G3481" t="s">
        <v>11</v>
      </c>
      <c r="H3481">
        <f>59764*(1.01^10)</f>
        <v>66016.636703075244</v>
      </c>
      <c r="I3481">
        <f>301714*(1.01^10)</f>
        <v>333279.9599463162</v>
      </c>
      <c r="J3481" t="s">
        <v>10939</v>
      </c>
      <c r="K3481">
        <f t="shared" si="54"/>
        <v>366.03356456440696</v>
      </c>
    </row>
    <row r="3482" spans="1:11" x14ac:dyDescent="0.2">
      <c r="A3482" t="s">
        <v>61</v>
      </c>
      <c r="B3482" t="s">
        <v>2210</v>
      </c>
      <c r="C3482" t="s">
        <v>10940</v>
      </c>
      <c r="D3482" t="s">
        <v>10941</v>
      </c>
      <c r="E3482" t="s">
        <v>386</v>
      </c>
      <c r="F3482" t="s">
        <v>422</v>
      </c>
      <c r="G3482" t="s">
        <v>12</v>
      </c>
      <c r="H3482">
        <f>38407*(1.01^10)</f>
        <v>42425.221970668143</v>
      </c>
      <c r="I3482">
        <f>187093*(1.01^10)</f>
        <v>206667.06730955854</v>
      </c>
      <c r="J3482" t="s">
        <v>10942</v>
      </c>
      <c r="K3482">
        <f t="shared" si="54"/>
        <v>224.15159088288499</v>
      </c>
    </row>
    <row r="3483" spans="1:11" x14ac:dyDescent="0.2">
      <c r="A3483" t="s">
        <v>61</v>
      </c>
      <c r="B3483" t="s">
        <v>2210</v>
      </c>
      <c r="C3483" t="s">
        <v>10943</v>
      </c>
      <c r="D3483" t="s">
        <v>10944</v>
      </c>
      <c r="E3483" t="s">
        <v>264</v>
      </c>
      <c r="F3483" t="s">
        <v>152</v>
      </c>
      <c r="G3483" t="s">
        <v>12</v>
      </c>
      <c r="H3483">
        <f>19861*(1.01^10)</f>
        <v>21938.900032791938</v>
      </c>
      <c r="I3483">
        <f>99946*(1.01^10)</f>
        <v>110402.56294634828</v>
      </c>
      <c r="J3483" t="s">
        <v>10945</v>
      </c>
      <c r="K3483">
        <f t="shared" si="54"/>
        <v>234.72785520485789</v>
      </c>
    </row>
    <row r="3484" spans="1:11" x14ac:dyDescent="0.2">
      <c r="A3484" t="s">
        <v>61</v>
      </c>
      <c r="B3484" t="s">
        <v>2210</v>
      </c>
      <c r="C3484" t="s">
        <v>10946</v>
      </c>
      <c r="D3484" t="s">
        <v>10947</v>
      </c>
      <c r="E3484" t="s">
        <v>484</v>
      </c>
      <c r="F3484" t="s">
        <v>12</v>
      </c>
      <c r="G3484" t="s">
        <v>12</v>
      </c>
      <c r="H3484">
        <f>21537*(1.01^10)</f>
        <v>23790.246714981116</v>
      </c>
      <c r="I3484">
        <f>100601*(1.01^10)</f>
        <v>111126.09043849261</v>
      </c>
      <c r="J3484" t="s">
        <v>10948</v>
      </c>
      <c r="K3484">
        <f t="shared" si="54"/>
        <v>287.52790811182109</v>
      </c>
    </row>
    <row r="3485" spans="1:11" x14ac:dyDescent="0.2">
      <c r="A3485" t="s">
        <v>61</v>
      </c>
      <c r="B3485" t="s">
        <v>2210</v>
      </c>
      <c r="C3485" t="s">
        <v>10949</v>
      </c>
      <c r="D3485" t="s">
        <v>10950</v>
      </c>
      <c r="E3485" t="s">
        <v>542</v>
      </c>
      <c r="F3485" t="s">
        <v>158</v>
      </c>
      <c r="G3485" t="s">
        <v>17</v>
      </c>
      <c r="H3485">
        <f>33791*(1.01^10)</f>
        <v>37326.286239770023</v>
      </c>
      <c r="I3485">
        <f>182233*(1.01^10)</f>
        <v>201298.60378006008</v>
      </c>
      <c r="J3485" t="s">
        <v>10951</v>
      </c>
      <c r="K3485">
        <f t="shared" si="54"/>
        <v>350.17331993550664</v>
      </c>
    </row>
    <row r="3486" spans="1:11" x14ac:dyDescent="0.2">
      <c r="A3486" t="s">
        <v>61</v>
      </c>
      <c r="B3486" t="s">
        <v>2210</v>
      </c>
      <c r="C3486" t="s">
        <v>10952</v>
      </c>
      <c r="D3486" t="s">
        <v>10953</v>
      </c>
      <c r="E3486" t="s">
        <v>674</v>
      </c>
      <c r="F3486" t="s">
        <v>17</v>
      </c>
      <c r="G3486" t="s">
        <v>17</v>
      </c>
      <c r="H3486">
        <f>19334*(1.01^10)</f>
        <v>21356.764172700234</v>
      </c>
      <c r="I3486">
        <f>105051*(1.01^10)</f>
        <v>116041.65889657247</v>
      </c>
      <c r="J3486" t="s">
        <v>10954</v>
      </c>
      <c r="K3486">
        <f t="shared" si="54"/>
        <v>338.17127550113321</v>
      </c>
    </row>
    <row r="3487" spans="1:11" x14ac:dyDescent="0.2">
      <c r="A3487" t="s">
        <v>61</v>
      </c>
      <c r="B3487" t="s">
        <v>2210</v>
      </c>
      <c r="C3487" t="s">
        <v>10955</v>
      </c>
      <c r="D3487" t="s">
        <v>8555</v>
      </c>
      <c r="E3487" t="s">
        <v>1352</v>
      </c>
      <c r="F3487" t="s">
        <v>6</v>
      </c>
      <c r="G3487" t="s">
        <v>17</v>
      </c>
      <c r="H3487">
        <f>69003*(1.01^10)</f>
        <v>76222.240519749364</v>
      </c>
      <c r="I3487">
        <f>359338*(1.01^10)</f>
        <v>396932.70530101151</v>
      </c>
      <c r="J3487" t="s">
        <v>10956</v>
      </c>
      <c r="K3487">
        <f t="shared" si="54"/>
        <v>372.5720561465377</v>
      </c>
    </row>
    <row r="3488" spans="1:11" x14ac:dyDescent="0.2">
      <c r="A3488" t="s">
        <v>61</v>
      </c>
      <c r="B3488" t="s">
        <v>2210</v>
      </c>
      <c r="C3488" t="s">
        <v>10957</v>
      </c>
      <c r="D3488" t="s">
        <v>3952</v>
      </c>
      <c r="E3488" t="s">
        <v>390</v>
      </c>
      <c r="F3488" t="s">
        <v>152</v>
      </c>
      <c r="G3488" t="s">
        <v>17</v>
      </c>
      <c r="H3488">
        <f>51483*(1.01^10)</f>
        <v>56869.260882545052</v>
      </c>
      <c r="I3488">
        <f>255004*(1.01^10)</f>
        <v>281683.06046835886</v>
      </c>
      <c r="J3488" t="s">
        <v>10958</v>
      </c>
      <c r="K3488">
        <f t="shared" si="54"/>
        <v>202.44387902434769</v>
      </c>
    </row>
    <row r="3489" spans="1:11" x14ac:dyDescent="0.2">
      <c r="A3489" t="s">
        <v>61</v>
      </c>
      <c r="B3489" t="s">
        <v>2210</v>
      </c>
      <c r="C3489" t="s">
        <v>10959</v>
      </c>
      <c r="D3489" t="s">
        <v>10960</v>
      </c>
      <c r="E3489" t="s">
        <v>977</v>
      </c>
      <c r="F3489" t="s">
        <v>152</v>
      </c>
      <c r="G3489" t="s">
        <v>12</v>
      </c>
      <c r="H3489">
        <f>24269*(1.01^10)</f>
        <v>26808.074361604529</v>
      </c>
      <c r="I3489">
        <f>110935*(1.01^10)</f>
        <v>122541.25548249199</v>
      </c>
      <c r="J3489" t="s">
        <v>10961</v>
      </c>
      <c r="K3489">
        <f t="shared" si="54"/>
        <v>196.62398986984584</v>
      </c>
    </row>
    <row r="3490" spans="1:11" x14ac:dyDescent="0.2">
      <c r="A3490" t="s">
        <v>61</v>
      </c>
      <c r="B3490" t="s">
        <v>2210</v>
      </c>
      <c r="C3490" t="s">
        <v>10962</v>
      </c>
      <c r="D3490" t="s">
        <v>10963</v>
      </c>
      <c r="E3490" t="s">
        <v>619</v>
      </c>
      <c r="F3490" t="s">
        <v>17</v>
      </c>
      <c r="G3490" t="s">
        <v>12</v>
      </c>
      <c r="H3490">
        <f>22561*(1.01^10)</f>
        <v>24921.379771402189</v>
      </c>
      <c r="I3490">
        <f>98517*(1.01^10)</f>
        <v>108824.05792913566</v>
      </c>
      <c r="J3490" t="s">
        <v>10964</v>
      </c>
      <c r="K3490">
        <f t="shared" si="54"/>
        <v>263.34644107269378</v>
      </c>
    </row>
    <row r="3491" spans="1:11" x14ac:dyDescent="0.2">
      <c r="A3491" t="s">
        <v>61</v>
      </c>
      <c r="B3491" t="s">
        <v>2210</v>
      </c>
      <c r="C3491" t="s">
        <v>10965</v>
      </c>
      <c r="D3491" t="s">
        <v>10966</v>
      </c>
      <c r="E3491" t="s">
        <v>568</v>
      </c>
      <c r="F3491" t="s">
        <v>796</v>
      </c>
      <c r="G3491" t="s">
        <v>17</v>
      </c>
      <c r="H3491">
        <f>35318*(1.01^10)</f>
        <v>39013.044225272926</v>
      </c>
      <c r="I3491">
        <f>173380*(1.01^10)</f>
        <v>191519.38410379467</v>
      </c>
      <c r="J3491" t="s">
        <v>10967</v>
      </c>
      <c r="K3491">
        <f t="shared" si="54"/>
        <v>120.19246081161975</v>
      </c>
    </row>
    <row r="3492" spans="1:11" x14ac:dyDescent="0.2">
      <c r="A3492" t="s">
        <v>61</v>
      </c>
      <c r="B3492" t="s">
        <v>2210</v>
      </c>
      <c r="C3492" t="s">
        <v>10968</v>
      </c>
      <c r="D3492" t="s">
        <v>10969</v>
      </c>
      <c r="E3492" t="s">
        <v>503</v>
      </c>
      <c r="F3492" t="s">
        <v>445</v>
      </c>
      <c r="G3492" t="s">
        <v>12</v>
      </c>
      <c r="H3492">
        <f>20733*(1.01^10)</f>
        <v>22902.130526150508</v>
      </c>
      <c r="I3492">
        <f>90277*(1.01^10)</f>
        <v>99721.97161574733</v>
      </c>
      <c r="J3492" t="s">
        <v>10970</v>
      </c>
      <c r="K3492">
        <f t="shared" si="54"/>
        <v>110.37732642374911</v>
      </c>
    </row>
    <row r="3493" spans="1:11" x14ac:dyDescent="0.2">
      <c r="A3493" t="s">
        <v>61</v>
      </c>
      <c r="B3493" t="s">
        <v>1910</v>
      </c>
      <c r="C3493" t="s">
        <v>10971</v>
      </c>
      <c r="D3493" t="s">
        <v>10972</v>
      </c>
      <c r="E3493" t="s">
        <v>4</v>
      </c>
      <c r="F3493" t="s">
        <v>17</v>
      </c>
      <c r="G3493" t="s">
        <v>12</v>
      </c>
      <c r="H3493">
        <f>38133*(1.01^10)</f>
        <v>42122.555508305471</v>
      </c>
      <c r="I3493">
        <f>170457*(1.01^10)</f>
        <v>188290.57363121773</v>
      </c>
      <c r="J3493" t="s">
        <v>10973</v>
      </c>
      <c r="K3493">
        <f t="shared" si="54"/>
        <v>255.06731423440536</v>
      </c>
    </row>
    <row r="3494" spans="1:11" x14ac:dyDescent="0.2">
      <c r="A3494" t="s">
        <v>61</v>
      </c>
      <c r="B3494" t="s">
        <v>1910</v>
      </c>
      <c r="C3494" t="s">
        <v>10974</v>
      </c>
      <c r="D3494" t="s">
        <v>10975</v>
      </c>
      <c r="E3494" t="s">
        <v>839</v>
      </c>
      <c r="F3494" t="s">
        <v>103</v>
      </c>
      <c r="G3494" t="s">
        <v>12</v>
      </c>
      <c r="H3494">
        <f>33170*(1.01^10)</f>
        <v>36640.315899889662</v>
      </c>
      <c r="I3494">
        <f>156297*(1.01^10)</f>
        <v>172649.12433539506</v>
      </c>
      <c r="J3494" t="s">
        <v>10976</v>
      </c>
      <c r="K3494">
        <f t="shared" si="54"/>
        <v>114.08016347983323</v>
      </c>
    </row>
    <row r="3495" spans="1:11" x14ac:dyDescent="0.2">
      <c r="A3495" t="s">
        <v>61</v>
      </c>
      <c r="B3495" t="s">
        <v>1910</v>
      </c>
      <c r="C3495" t="s">
        <v>10977</v>
      </c>
      <c r="D3495" t="s">
        <v>10978</v>
      </c>
      <c r="E3495" t="s">
        <v>998</v>
      </c>
      <c r="F3495" t="s">
        <v>11</v>
      </c>
      <c r="G3495" t="s">
        <v>17</v>
      </c>
      <c r="H3495">
        <f>19045*(1.01^10)</f>
        <v>21037.528378456394</v>
      </c>
      <c r="I3495">
        <f>88721*(1.01^10)</f>
        <v>98003.179588607498</v>
      </c>
      <c r="J3495" t="s">
        <v>10979</v>
      </c>
      <c r="K3495">
        <f t="shared" si="54"/>
        <v>252.90698364642358</v>
      </c>
    </row>
    <row r="3496" spans="1:11" x14ac:dyDescent="0.2">
      <c r="A3496" t="s">
        <v>61</v>
      </c>
      <c r="B3496" t="s">
        <v>1910</v>
      </c>
      <c r="C3496" t="s">
        <v>10980</v>
      </c>
      <c r="D3496" t="s">
        <v>10981</v>
      </c>
      <c r="E3496" t="s">
        <v>1352</v>
      </c>
      <c r="F3496" t="s">
        <v>5</v>
      </c>
      <c r="G3496" t="s">
        <v>24</v>
      </c>
      <c r="H3496">
        <f>29621*(1.01^10)</f>
        <v>32720.011976805297</v>
      </c>
      <c r="I3496">
        <f>133513*(1.01^10)</f>
        <v>147481.41383002617</v>
      </c>
      <c r="J3496" t="s">
        <v>10982</v>
      </c>
      <c r="K3496">
        <f t="shared" si="54"/>
        <v>273.49441598642227</v>
      </c>
    </row>
    <row r="3497" spans="1:11" x14ac:dyDescent="0.2">
      <c r="A3497" t="s">
        <v>61</v>
      </c>
      <c r="B3497" t="s">
        <v>1910</v>
      </c>
      <c r="C3497" t="s">
        <v>10983</v>
      </c>
      <c r="D3497" t="s">
        <v>10984</v>
      </c>
      <c r="E3497" t="s">
        <v>1328</v>
      </c>
      <c r="F3497" t="s">
        <v>11</v>
      </c>
      <c r="G3497" t="s">
        <v>12</v>
      </c>
      <c r="H3497">
        <f>25788*(1.01^10)</f>
        <v>28485.995370104149</v>
      </c>
      <c r="I3497">
        <f>114702*(1.01^10)</f>
        <v>126702.36702891601</v>
      </c>
      <c r="J3497" t="s">
        <v>10985</v>
      </c>
      <c r="K3497">
        <f t="shared" si="54"/>
        <v>232.02568496199717</v>
      </c>
    </row>
    <row r="3498" spans="1:11" x14ac:dyDescent="0.2">
      <c r="A3498" t="s">
        <v>61</v>
      </c>
      <c r="B3498" t="s">
        <v>1910</v>
      </c>
      <c r="C3498" t="s">
        <v>10986</v>
      </c>
      <c r="D3498" t="s">
        <v>10987</v>
      </c>
      <c r="E3498" t="s">
        <v>347</v>
      </c>
      <c r="F3498" t="s">
        <v>6</v>
      </c>
      <c r="G3498" t="s">
        <v>12</v>
      </c>
      <c r="H3498">
        <f>38833*(1.01^10)</f>
        <v>42895.790996093318</v>
      </c>
      <c r="I3498">
        <f>167578*(1.01^10)</f>
        <v>185110.36653215886</v>
      </c>
      <c r="J3498" t="s">
        <v>10988</v>
      </c>
      <c r="K3498">
        <f t="shared" si="54"/>
        <v>113.68043390798829</v>
      </c>
    </row>
    <row r="3499" spans="1:11" x14ac:dyDescent="0.2">
      <c r="A3499" t="s">
        <v>61</v>
      </c>
      <c r="B3499" t="s">
        <v>1910</v>
      </c>
      <c r="C3499" t="s">
        <v>10989</v>
      </c>
      <c r="D3499" t="s">
        <v>10990</v>
      </c>
      <c r="E3499" t="s">
        <v>839</v>
      </c>
      <c r="F3499" t="s">
        <v>5</v>
      </c>
      <c r="G3499" t="s">
        <v>24</v>
      </c>
      <c r="H3499">
        <f>24435*(1.01^10)</f>
        <v>26991.441634422787</v>
      </c>
      <c r="I3499">
        <f>107623*(1.01^10)</f>
        <v>118882.74700313009</v>
      </c>
      <c r="J3499" t="s">
        <v>10991</v>
      </c>
      <c r="K3499">
        <f t="shared" si="54"/>
        <v>113.03629799463906</v>
      </c>
    </row>
    <row r="3500" spans="1:11" x14ac:dyDescent="0.2">
      <c r="A3500" t="s">
        <v>61</v>
      </c>
      <c r="B3500" t="s">
        <v>1910</v>
      </c>
      <c r="C3500" t="s">
        <v>10992</v>
      </c>
      <c r="D3500" t="s">
        <v>10993</v>
      </c>
      <c r="E3500" t="s">
        <v>977</v>
      </c>
      <c r="F3500" t="s">
        <v>744</v>
      </c>
      <c r="G3500" t="s">
        <v>24</v>
      </c>
      <c r="H3500">
        <f>19684*(1.01^10)</f>
        <v>21743.381916594153</v>
      </c>
      <c r="I3500">
        <f>77629*(1.01^10)</f>
        <v>85750.710973546418</v>
      </c>
      <c r="J3500" t="s">
        <v>10994</v>
      </c>
      <c r="K3500">
        <f t="shared" si="54"/>
        <v>117.38677761790366</v>
      </c>
    </row>
    <row r="3501" spans="1:11" x14ac:dyDescent="0.2">
      <c r="A3501" t="s">
        <v>61</v>
      </c>
      <c r="B3501" t="s">
        <v>979</v>
      </c>
      <c r="C3501" t="s">
        <v>10995</v>
      </c>
      <c r="D3501" t="s">
        <v>10996</v>
      </c>
      <c r="E3501" t="s">
        <v>540</v>
      </c>
      <c r="F3501" t="s">
        <v>1340</v>
      </c>
      <c r="G3501" t="s">
        <v>11</v>
      </c>
      <c r="H3501">
        <f>42032*(1.01^10)</f>
        <v>46429.477175283755</v>
      </c>
      <c r="I3501">
        <f>196680*(1.01^10)</f>
        <v>217257.07962587575</v>
      </c>
      <c r="J3501" t="s">
        <v>10997</v>
      </c>
      <c r="K3501">
        <f t="shared" si="54"/>
        <v>296.32476710767156</v>
      </c>
    </row>
    <row r="3502" spans="1:11" x14ac:dyDescent="0.2">
      <c r="A3502" t="s">
        <v>61</v>
      </c>
      <c r="B3502" t="s">
        <v>979</v>
      </c>
      <c r="C3502" t="s">
        <v>10998</v>
      </c>
      <c r="D3502" t="s">
        <v>10999</v>
      </c>
      <c r="E3502" t="s">
        <v>407</v>
      </c>
      <c r="F3502" t="s">
        <v>318</v>
      </c>
      <c r="G3502" t="s">
        <v>12</v>
      </c>
      <c r="H3502">
        <f>40657*(1.01^10)</f>
        <v>44910.621752843348</v>
      </c>
      <c r="I3502">
        <f>189199*(1.01^10)</f>
        <v>208993.40150567453</v>
      </c>
      <c r="J3502" t="s">
        <v>11000</v>
      </c>
      <c r="K3502">
        <f t="shared" si="54"/>
        <v>243.72665970633929</v>
      </c>
    </row>
    <row r="3503" spans="1:11" x14ac:dyDescent="0.2">
      <c r="A3503" t="s">
        <v>61</v>
      </c>
      <c r="B3503" t="s">
        <v>979</v>
      </c>
      <c r="C3503" t="s">
        <v>11001</v>
      </c>
      <c r="D3503" t="s">
        <v>11002</v>
      </c>
      <c r="E3503" t="s">
        <v>123</v>
      </c>
      <c r="F3503" t="s">
        <v>411</v>
      </c>
      <c r="G3503" t="s">
        <v>24</v>
      </c>
      <c r="H3503">
        <f>34985*(1.01^10)</f>
        <v>38645.205057510997</v>
      </c>
      <c r="I3503">
        <f>152631*(1.01^10)</f>
        <v>168599.5796236376</v>
      </c>
      <c r="J3503" t="s">
        <v>11003</v>
      </c>
      <c r="K3503">
        <f t="shared" si="54"/>
        <v>199.82572178783064</v>
      </c>
    </row>
    <row r="3504" spans="1:11" x14ac:dyDescent="0.2">
      <c r="A3504" t="s">
        <v>61</v>
      </c>
      <c r="B3504" t="s">
        <v>979</v>
      </c>
      <c r="C3504" t="s">
        <v>11004</v>
      </c>
      <c r="D3504" t="s">
        <v>3240</v>
      </c>
      <c r="E3504" t="s">
        <v>1401</v>
      </c>
      <c r="F3504" t="s">
        <v>274</v>
      </c>
      <c r="G3504" t="s">
        <v>12</v>
      </c>
      <c r="H3504">
        <f>46788*(1.01^10)</f>
        <v>51683.060003739447</v>
      </c>
      <c r="I3504">
        <f>202594*(1.01^10)</f>
        <v>223789.81487555761</v>
      </c>
      <c r="J3504" t="s">
        <v>11005</v>
      </c>
      <c r="K3504">
        <f t="shared" si="54"/>
        <v>219.39523004541778</v>
      </c>
    </row>
    <row r="3505" spans="1:11" x14ac:dyDescent="0.2">
      <c r="A3505" t="s">
        <v>61</v>
      </c>
      <c r="B3505" t="s">
        <v>979</v>
      </c>
      <c r="C3505" t="s">
        <v>11006</v>
      </c>
      <c r="D3505" t="s">
        <v>11007</v>
      </c>
      <c r="E3505" t="s">
        <v>1303</v>
      </c>
      <c r="F3505" t="s">
        <v>445</v>
      </c>
      <c r="G3505" t="s">
        <v>12</v>
      </c>
      <c r="H3505">
        <f>31106*(1.01^10)</f>
        <v>34360.375833040933</v>
      </c>
      <c r="I3505">
        <f>138054*(1.01^10)</f>
        <v>152497.50290151846</v>
      </c>
      <c r="J3505" t="s">
        <v>11008</v>
      </c>
      <c r="K3505">
        <f t="shared" si="54"/>
        <v>181.00201122594845</v>
      </c>
    </row>
    <row r="3506" spans="1:11" x14ac:dyDescent="0.2">
      <c r="A3506" t="s">
        <v>61</v>
      </c>
      <c r="B3506" t="s">
        <v>979</v>
      </c>
      <c r="C3506" t="s">
        <v>11009</v>
      </c>
      <c r="D3506" t="s">
        <v>11010</v>
      </c>
      <c r="E3506" t="s">
        <v>386</v>
      </c>
      <c r="F3506" t="s">
        <v>382</v>
      </c>
      <c r="G3506" t="s">
        <v>12</v>
      </c>
      <c r="H3506">
        <f>26423*(1.01^10)</f>
        <v>29187.430419740263</v>
      </c>
      <c r="I3506">
        <f>124099*(1.01^10)</f>
        <v>137082.50114140511</v>
      </c>
      <c r="J3506" t="s">
        <v>11011</v>
      </c>
      <c r="K3506">
        <f t="shared" si="54"/>
        <v>218.23726737422766</v>
      </c>
    </row>
    <row r="3507" spans="1:11" x14ac:dyDescent="0.2">
      <c r="A3507" t="s">
        <v>61</v>
      </c>
      <c r="B3507" t="s">
        <v>979</v>
      </c>
      <c r="C3507" t="s">
        <v>11012</v>
      </c>
      <c r="D3507" t="s">
        <v>8016</v>
      </c>
      <c r="E3507" t="s">
        <v>685</v>
      </c>
      <c r="F3507" t="s">
        <v>445</v>
      </c>
      <c r="G3507" t="s">
        <v>405</v>
      </c>
      <c r="H3507">
        <f>168962*(1.01^10)</f>
        <v>186639.16355372797</v>
      </c>
      <c r="I3507">
        <f>823015*(1.01^10)</f>
        <v>909120.57854530262</v>
      </c>
      <c r="J3507" t="s">
        <v>11013</v>
      </c>
      <c r="K3507">
        <f t="shared" si="54"/>
        <v>421.56032650298715</v>
      </c>
    </row>
    <row r="3508" spans="1:11" x14ac:dyDescent="0.2">
      <c r="A3508" t="s">
        <v>61</v>
      </c>
      <c r="B3508" t="s">
        <v>979</v>
      </c>
      <c r="C3508" t="s">
        <v>11014</v>
      </c>
      <c r="D3508" t="s">
        <v>11015</v>
      </c>
      <c r="E3508" t="s">
        <v>368</v>
      </c>
      <c r="F3508" t="s">
        <v>152</v>
      </c>
      <c r="G3508" t="s">
        <v>12</v>
      </c>
      <c r="H3508">
        <f>26481*(1.01^10)</f>
        <v>29251.498503014114</v>
      </c>
      <c r="I3508">
        <f>118410*(1.01^10)</f>
        <v>130798.30586994076</v>
      </c>
      <c r="J3508" t="s">
        <v>11016</v>
      </c>
      <c r="K3508">
        <f t="shared" si="54"/>
        <v>290.67631862389788</v>
      </c>
    </row>
    <row r="3509" spans="1:11" x14ac:dyDescent="0.2">
      <c r="A3509" t="s">
        <v>61</v>
      </c>
      <c r="B3509" t="s">
        <v>979</v>
      </c>
      <c r="C3509" t="s">
        <v>11017</v>
      </c>
      <c r="D3509" t="s">
        <v>11018</v>
      </c>
      <c r="E3509" t="s">
        <v>2283</v>
      </c>
      <c r="F3509" t="s">
        <v>44</v>
      </c>
      <c r="G3509" t="s">
        <v>12</v>
      </c>
      <c r="H3509">
        <f>31310*(1.01^10)</f>
        <v>34585.718746624822</v>
      </c>
      <c r="I3509">
        <f>139619*(1.01^10)</f>
        <v>154226.236527787</v>
      </c>
      <c r="J3509" t="s">
        <v>11019</v>
      </c>
      <c r="K3509">
        <f t="shared" si="54"/>
        <v>203.38985349825992</v>
      </c>
    </row>
    <row r="3510" spans="1:11" x14ac:dyDescent="0.2">
      <c r="A3510" t="s">
        <v>61</v>
      </c>
      <c r="B3510" t="s">
        <v>979</v>
      </c>
      <c r="C3510" t="s">
        <v>11020</v>
      </c>
      <c r="D3510" t="s">
        <v>11021</v>
      </c>
      <c r="E3510" t="s">
        <v>676</v>
      </c>
      <c r="F3510" t="s">
        <v>318</v>
      </c>
      <c r="G3510" t="s">
        <v>24</v>
      </c>
      <c r="H3510">
        <f>28218*(1.01^10)</f>
        <v>31170.227134853376</v>
      </c>
      <c r="I3510">
        <f>116951*(1.01^10)</f>
        <v>129186.66218896581</v>
      </c>
      <c r="J3510" t="s">
        <v>11022</v>
      </c>
      <c r="K3510">
        <f t="shared" si="54"/>
        <v>155.61033089372864</v>
      </c>
    </row>
    <row r="3511" spans="1:11" x14ac:dyDescent="0.2">
      <c r="A3511" t="s">
        <v>61</v>
      </c>
      <c r="B3511" t="s">
        <v>979</v>
      </c>
      <c r="C3511" t="s">
        <v>11023</v>
      </c>
      <c r="D3511" t="s">
        <v>8302</v>
      </c>
      <c r="E3511" t="s">
        <v>722</v>
      </c>
      <c r="F3511" t="s">
        <v>1340</v>
      </c>
      <c r="G3511" t="s">
        <v>12</v>
      </c>
      <c r="H3511">
        <f>40888*(1.01^10)</f>
        <v>45165.789463813337</v>
      </c>
      <c r="I3511">
        <f>177206*(1.01^10)</f>
        <v>195745.66835561793</v>
      </c>
      <c r="J3511" t="s">
        <v>11024</v>
      </c>
      <c r="K3511">
        <f t="shared" si="54"/>
        <v>172.93235725441116</v>
      </c>
    </row>
    <row r="3512" spans="1:11" x14ac:dyDescent="0.2">
      <c r="A3512" t="s">
        <v>61</v>
      </c>
      <c r="B3512" t="s">
        <v>948</v>
      </c>
      <c r="C3512" t="s">
        <v>11025</v>
      </c>
      <c r="D3512" t="s">
        <v>11026</v>
      </c>
      <c r="E3512" t="s">
        <v>2400</v>
      </c>
      <c r="F3512" t="s">
        <v>5</v>
      </c>
      <c r="G3512" t="s">
        <v>12</v>
      </c>
      <c r="H3512">
        <f>34533*(1.01^10)</f>
        <v>38145.915856825137</v>
      </c>
      <c r="I3512">
        <f>149602*(1.01^10)</f>
        <v>165253.67920576705</v>
      </c>
      <c r="J3512" t="s">
        <v>11027</v>
      </c>
      <c r="K3512">
        <f t="shared" si="54"/>
        <v>175.596603332104</v>
      </c>
    </row>
    <row r="3513" spans="1:11" x14ac:dyDescent="0.2">
      <c r="A3513" t="s">
        <v>61</v>
      </c>
      <c r="B3513" t="s">
        <v>948</v>
      </c>
      <c r="C3513" t="s">
        <v>11028</v>
      </c>
      <c r="D3513" t="s">
        <v>11029</v>
      </c>
      <c r="E3513" t="s">
        <v>540</v>
      </c>
      <c r="F3513" t="s">
        <v>11</v>
      </c>
      <c r="G3513" t="s">
        <v>24</v>
      </c>
      <c r="H3513">
        <f>30999*(1.01^10)</f>
        <v>34242.181265621934</v>
      </c>
      <c r="I3513">
        <f>124353*(1.01^10)</f>
        <v>137363.07516125953</v>
      </c>
      <c r="J3513" t="s">
        <v>11030</v>
      </c>
      <c r="K3513">
        <f t="shared" si="54"/>
        <v>172.49186610749942</v>
      </c>
    </row>
    <row r="3514" spans="1:11" x14ac:dyDescent="0.2">
      <c r="A3514" t="s">
        <v>61</v>
      </c>
      <c r="B3514" t="s">
        <v>948</v>
      </c>
      <c r="C3514" t="s">
        <v>11031</v>
      </c>
      <c r="D3514" t="s">
        <v>11032</v>
      </c>
      <c r="E3514" t="s">
        <v>2162</v>
      </c>
      <c r="F3514" t="s">
        <v>158</v>
      </c>
      <c r="G3514" t="s">
        <v>24</v>
      </c>
      <c r="H3514">
        <f>34080*(1.01^10)</f>
        <v>37645.522034013855</v>
      </c>
      <c r="I3514">
        <f>141466*(1.01^10)</f>
        <v>156266.47359342148</v>
      </c>
      <c r="J3514" t="s">
        <v>11033</v>
      </c>
      <c r="K3514">
        <f t="shared" si="54"/>
        <v>170.26971289859335</v>
      </c>
    </row>
    <row r="3515" spans="1:11" x14ac:dyDescent="0.2">
      <c r="A3515" t="s">
        <v>61</v>
      </c>
      <c r="B3515" t="s">
        <v>948</v>
      </c>
      <c r="C3515" t="s">
        <v>11034</v>
      </c>
      <c r="D3515" t="s">
        <v>11035</v>
      </c>
      <c r="E3515" t="s">
        <v>386</v>
      </c>
      <c r="F3515" t="s">
        <v>24</v>
      </c>
      <c r="G3515" t="s">
        <v>17</v>
      </c>
      <c r="H3515">
        <f>41951*(1.01^10)</f>
        <v>46340.002783125448</v>
      </c>
      <c r="I3515">
        <f>172480*(1.01^10)</f>
        <v>190525.22419092461</v>
      </c>
      <c r="J3515" t="s">
        <v>11036</v>
      </c>
      <c r="K3515">
        <f t="shared" si="54"/>
        <v>270.63034604798395</v>
      </c>
    </row>
    <row r="3516" spans="1:11" x14ac:dyDescent="0.2">
      <c r="A3516" t="s">
        <v>61</v>
      </c>
      <c r="B3516" t="s">
        <v>948</v>
      </c>
      <c r="C3516" t="s">
        <v>11037</v>
      </c>
      <c r="D3516" t="s">
        <v>11038</v>
      </c>
      <c r="E3516" t="s">
        <v>2726</v>
      </c>
      <c r="F3516" t="s">
        <v>6</v>
      </c>
      <c r="G3516" t="s">
        <v>5</v>
      </c>
      <c r="H3516">
        <f>79590*(1.01^10)</f>
        <v>87916.874961477792</v>
      </c>
      <c r="I3516">
        <f>359521*(1.01^10)</f>
        <v>397134.85114996176</v>
      </c>
      <c r="J3516" t="s">
        <v>11039</v>
      </c>
      <c r="K3516">
        <f t="shared" si="54"/>
        <v>323.62921076380542</v>
      </c>
    </row>
    <row r="3517" spans="1:11" x14ac:dyDescent="0.2">
      <c r="A3517" t="s">
        <v>61</v>
      </c>
      <c r="B3517" t="s">
        <v>948</v>
      </c>
      <c r="C3517" t="s">
        <v>11040</v>
      </c>
      <c r="D3517" t="s">
        <v>11041</v>
      </c>
      <c r="E3517" t="s">
        <v>584</v>
      </c>
      <c r="F3517" t="s">
        <v>108</v>
      </c>
      <c r="G3517" t="s">
        <v>12</v>
      </c>
      <c r="H3517">
        <f>40054*(1.01^10)</f>
        <v>44244.534611220392</v>
      </c>
      <c r="I3517">
        <f>163801*(1.01^10)</f>
        <v>180938.20876448075</v>
      </c>
      <c r="J3517" t="s">
        <v>11042</v>
      </c>
      <c r="K3517">
        <f t="shared" si="54"/>
        <v>153.0712939958689</v>
      </c>
    </row>
    <row r="3518" spans="1:11" x14ac:dyDescent="0.2">
      <c r="A3518" t="s">
        <v>61</v>
      </c>
      <c r="B3518" t="s">
        <v>948</v>
      </c>
      <c r="C3518" t="s">
        <v>11043</v>
      </c>
      <c r="D3518" t="s">
        <v>11044</v>
      </c>
      <c r="E3518" t="s">
        <v>385</v>
      </c>
      <c r="F3518" t="s">
        <v>11</v>
      </c>
      <c r="G3518" t="s">
        <v>12</v>
      </c>
      <c r="H3518">
        <f>36401*(1.01^10)</f>
        <v>40209.349987093265</v>
      </c>
      <c r="I3518">
        <f>152996*(1.01^10)</f>
        <v>169002.76669941269</v>
      </c>
      <c r="J3518" t="s">
        <v>11045</v>
      </c>
      <c r="K3518">
        <f t="shared" si="54"/>
        <v>109.91314286582167</v>
      </c>
    </row>
    <row r="3519" spans="1:11" x14ac:dyDescent="0.2">
      <c r="A3519" t="s">
        <v>61</v>
      </c>
      <c r="B3519" t="s">
        <v>11046</v>
      </c>
      <c r="C3519" t="s">
        <v>11047</v>
      </c>
      <c r="D3519" t="s">
        <v>11048</v>
      </c>
      <c r="E3519" t="s">
        <v>5142</v>
      </c>
      <c r="F3519" t="s">
        <v>56</v>
      </c>
      <c r="G3519" t="s">
        <v>11</v>
      </c>
      <c r="H3519">
        <f>103343*(1.01^10)</f>
        <v>114154.96430637014</v>
      </c>
      <c r="I3519">
        <f>504183*(1.01^10)</f>
        <v>556931.69705619744</v>
      </c>
      <c r="J3519" t="s">
        <v>11049</v>
      </c>
      <c r="K3519">
        <f t="shared" si="54"/>
        <v>763.72536063265227</v>
      </c>
    </row>
    <row r="3520" spans="1:11" x14ac:dyDescent="0.2">
      <c r="A3520" t="s">
        <v>61</v>
      </c>
      <c r="B3520" t="s">
        <v>11046</v>
      </c>
      <c r="C3520" t="s">
        <v>11050</v>
      </c>
      <c r="D3520" t="s">
        <v>11051</v>
      </c>
      <c r="E3520" t="s">
        <v>310</v>
      </c>
      <c r="F3520" t="s">
        <v>313</v>
      </c>
      <c r="G3520" t="s">
        <v>17</v>
      </c>
      <c r="H3520">
        <f>31879*(1.01^10)</f>
        <v>35214.248735983798</v>
      </c>
      <c r="I3520">
        <f>150362*(1.01^10)</f>
        <v>166093.19202107957</v>
      </c>
      <c r="J3520" t="s">
        <v>11052</v>
      </c>
      <c r="K3520">
        <f t="shared" si="54"/>
        <v>122.75707202226685</v>
      </c>
    </row>
    <row r="3521" spans="1:11" x14ac:dyDescent="0.2">
      <c r="A3521" t="s">
        <v>61</v>
      </c>
      <c r="B3521" t="s">
        <v>11046</v>
      </c>
      <c r="C3521" t="s">
        <v>11053</v>
      </c>
      <c r="D3521" t="s">
        <v>11054</v>
      </c>
      <c r="E3521" t="s">
        <v>58</v>
      </c>
      <c r="F3521" t="s">
        <v>142</v>
      </c>
      <c r="G3521" t="s">
        <v>17</v>
      </c>
      <c r="H3521">
        <f>27972*(1.01^10)</f>
        <v>30898.490092002219</v>
      </c>
      <c r="I3521">
        <f>132460*(1.01^10)</f>
        <v>146318.24673196819</v>
      </c>
      <c r="J3521" t="s">
        <v>11055</v>
      </c>
      <c r="K3521">
        <f t="shared" si="54"/>
        <v>505.81582446319794</v>
      </c>
    </row>
    <row r="3522" spans="1:11" x14ac:dyDescent="0.2">
      <c r="A3522" t="s">
        <v>61</v>
      </c>
      <c r="B3522" t="s">
        <v>11046</v>
      </c>
      <c r="C3522" t="s">
        <v>11056</v>
      </c>
      <c r="D3522" t="s">
        <v>11057</v>
      </c>
      <c r="E3522" t="s">
        <v>591</v>
      </c>
      <c r="F3522" t="s">
        <v>445</v>
      </c>
      <c r="G3522" t="s">
        <v>12</v>
      </c>
      <c r="H3522">
        <f>49801*(1.01^10)</f>
        <v>55011.286467603408</v>
      </c>
      <c r="I3522">
        <f>232391*(1.01^10)</f>
        <v>256704.24034643528</v>
      </c>
      <c r="J3522" t="s">
        <v>11058</v>
      </c>
      <c r="K3522">
        <f t="shared" si="54"/>
        <v>300.06472504591591</v>
      </c>
    </row>
    <row r="3523" spans="1:11" x14ac:dyDescent="0.2">
      <c r="A3523" t="s">
        <v>61</v>
      </c>
      <c r="B3523" t="s">
        <v>11046</v>
      </c>
      <c r="C3523" t="s">
        <v>11059</v>
      </c>
      <c r="D3523" t="s">
        <v>11060</v>
      </c>
      <c r="E3523" t="s">
        <v>786</v>
      </c>
      <c r="F3523" t="s">
        <v>1340</v>
      </c>
      <c r="G3523" t="s">
        <v>12</v>
      </c>
      <c r="H3523">
        <f>39817*(1.01^10)</f>
        <v>43982.739167497937</v>
      </c>
      <c r="I3523">
        <f>190961*(1.01^10)</f>
        <v>210939.74569064908</v>
      </c>
      <c r="J3523" t="s">
        <v>11061</v>
      </c>
      <c r="K3523">
        <f t="shared" ref="K3523:K3586" si="55">I3523/J3523</f>
        <v>217.91205122033679</v>
      </c>
    </row>
    <row r="3524" spans="1:11" x14ac:dyDescent="0.2">
      <c r="A3524" t="s">
        <v>61</v>
      </c>
      <c r="B3524" t="s">
        <v>11046</v>
      </c>
      <c r="C3524" t="s">
        <v>11062</v>
      </c>
      <c r="D3524" t="s">
        <v>11063</v>
      </c>
      <c r="E3524" t="s">
        <v>390</v>
      </c>
      <c r="F3524" t="s">
        <v>158</v>
      </c>
      <c r="G3524" t="s">
        <v>12</v>
      </c>
      <c r="H3524">
        <f>36564*(1.01^10)</f>
        <v>40389.403393535293</v>
      </c>
      <c r="I3524">
        <f>168127*(1.01^10)</f>
        <v>185716.80407900963</v>
      </c>
      <c r="J3524" t="s">
        <v>11064</v>
      </c>
      <c r="K3524">
        <f t="shared" si="55"/>
        <v>430.66600445955083</v>
      </c>
    </row>
    <row r="3525" spans="1:11" x14ac:dyDescent="0.2">
      <c r="A3525" t="s">
        <v>61</v>
      </c>
      <c r="B3525" t="s">
        <v>11046</v>
      </c>
      <c r="C3525" t="s">
        <v>11065</v>
      </c>
      <c r="D3525" t="s">
        <v>11066</v>
      </c>
      <c r="E3525" t="s">
        <v>1195</v>
      </c>
      <c r="F3525" t="s">
        <v>158</v>
      </c>
      <c r="G3525" t="s">
        <v>12</v>
      </c>
      <c r="H3525">
        <f>23157*(1.01^10)</f>
        <v>25579.734558147269</v>
      </c>
      <c r="I3525">
        <f>107550*(1.01^10)</f>
        <v>118802.10958797506</v>
      </c>
      <c r="J3525" t="s">
        <v>11067</v>
      </c>
      <c r="K3525">
        <f t="shared" si="55"/>
        <v>262.93394563786876</v>
      </c>
    </row>
    <row r="3526" spans="1:11" x14ac:dyDescent="0.2">
      <c r="A3526" t="s">
        <v>61</v>
      </c>
      <c r="B3526" t="s">
        <v>11046</v>
      </c>
      <c r="C3526" t="s">
        <v>11068</v>
      </c>
      <c r="D3526" t="s">
        <v>11069</v>
      </c>
      <c r="E3526" t="s">
        <v>982</v>
      </c>
      <c r="F3526" t="s">
        <v>411</v>
      </c>
      <c r="G3526" t="s">
        <v>12</v>
      </c>
      <c r="H3526">
        <f>51933*(1.01^10)</f>
        <v>57366.340838980097</v>
      </c>
      <c r="I3526">
        <f>224762*(1.01^10)</f>
        <v>248277.07815167319</v>
      </c>
      <c r="J3526" t="s">
        <v>11070</v>
      </c>
      <c r="K3526">
        <f t="shared" si="55"/>
        <v>361.95843601431818</v>
      </c>
    </row>
    <row r="3527" spans="1:11" x14ac:dyDescent="0.2">
      <c r="A3527" t="s">
        <v>61</v>
      </c>
      <c r="B3527" t="s">
        <v>11046</v>
      </c>
      <c r="C3527" t="s">
        <v>11071</v>
      </c>
      <c r="D3527" t="s">
        <v>336</v>
      </c>
      <c r="E3527" t="s">
        <v>584</v>
      </c>
      <c r="F3527" t="s">
        <v>318</v>
      </c>
      <c r="G3527" t="s">
        <v>24</v>
      </c>
      <c r="H3527">
        <f>35917*(1.01^10)</f>
        <v>39674.712878394239</v>
      </c>
      <c r="I3527">
        <f>159414*(1.01^10)</f>
        <v>176092.2315003018</v>
      </c>
      <c r="J3527" t="s">
        <v>11072</v>
      </c>
      <c r="K3527">
        <f t="shared" si="55"/>
        <v>291.59357412657431</v>
      </c>
    </row>
    <row r="3528" spans="1:11" x14ac:dyDescent="0.2">
      <c r="A3528" t="s">
        <v>61</v>
      </c>
      <c r="B3528" t="s">
        <v>11046</v>
      </c>
      <c r="C3528" t="s">
        <v>11073</v>
      </c>
      <c r="D3528" t="s">
        <v>11074</v>
      </c>
      <c r="E3528" t="s">
        <v>2586</v>
      </c>
      <c r="F3528" t="s">
        <v>405</v>
      </c>
      <c r="G3528" t="s">
        <v>12</v>
      </c>
      <c r="H3528">
        <f>78358*(1.01^10)</f>
        <v>86555.980502971186</v>
      </c>
      <c r="I3528">
        <f>358725*(1.01^10)</f>
        <v>396255.57193813444</v>
      </c>
      <c r="J3528" t="s">
        <v>11075</v>
      </c>
      <c r="K3528">
        <f t="shared" si="55"/>
        <v>349.40248563620128</v>
      </c>
    </row>
    <row r="3529" spans="1:11" x14ac:dyDescent="0.2">
      <c r="A3529" t="s">
        <v>61</v>
      </c>
      <c r="B3529" t="s">
        <v>5282</v>
      </c>
      <c r="C3529" t="s">
        <v>11076</v>
      </c>
      <c r="D3529" t="s">
        <v>11077</v>
      </c>
      <c r="E3529" t="s">
        <v>2623</v>
      </c>
      <c r="F3529" t="s">
        <v>97</v>
      </c>
      <c r="G3529" t="s">
        <v>17</v>
      </c>
      <c r="H3529">
        <f>55895*(1.01^10)</f>
        <v>61742.85369985929</v>
      </c>
      <c r="I3529">
        <f>251853*(1.01^10)</f>
        <v>278202.39615118812</v>
      </c>
      <c r="J3529" t="s">
        <v>11078</v>
      </c>
      <c r="K3529">
        <f t="shared" si="55"/>
        <v>338.43915726485665</v>
      </c>
    </row>
    <row r="3530" spans="1:11" x14ac:dyDescent="0.2">
      <c r="A3530" t="s">
        <v>61</v>
      </c>
      <c r="B3530" t="s">
        <v>5282</v>
      </c>
      <c r="C3530" t="s">
        <v>11079</v>
      </c>
      <c r="D3530" t="s">
        <v>11080</v>
      </c>
      <c r="E3530" t="s">
        <v>819</v>
      </c>
      <c r="F3530" t="s">
        <v>56</v>
      </c>
      <c r="G3530" t="s">
        <v>24</v>
      </c>
      <c r="H3530">
        <f>48088*(1.01^10)</f>
        <v>53119.068766774013</v>
      </c>
      <c r="I3530">
        <f>215071*(1.01^10)</f>
        <v>237572.18513431321</v>
      </c>
      <c r="J3530" t="s">
        <v>11081</v>
      </c>
      <c r="K3530">
        <f t="shared" si="55"/>
        <v>315.42837935311519</v>
      </c>
    </row>
    <row r="3531" spans="1:11" x14ac:dyDescent="0.2">
      <c r="A3531" t="s">
        <v>61</v>
      </c>
      <c r="B3531" t="s">
        <v>5282</v>
      </c>
      <c r="C3531" t="s">
        <v>11082</v>
      </c>
      <c r="D3531" t="s">
        <v>11083</v>
      </c>
      <c r="E3531" t="s">
        <v>631</v>
      </c>
      <c r="F3531" t="s">
        <v>405</v>
      </c>
      <c r="G3531" t="s">
        <v>17</v>
      </c>
      <c r="H3531">
        <f>45084*(1.01^10)</f>
        <v>49800.783902038755</v>
      </c>
      <c r="I3531">
        <f>196736*(1.01^10)</f>
        <v>217318.93846489879</v>
      </c>
      <c r="J3531" t="s">
        <v>11084</v>
      </c>
      <c r="K3531">
        <f t="shared" si="55"/>
        <v>419.59367518774724</v>
      </c>
    </row>
    <row r="3532" spans="1:11" x14ac:dyDescent="0.2">
      <c r="A3532" t="s">
        <v>61</v>
      </c>
      <c r="B3532" t="s">
        <v>5282</v>
      </c>
      <c r="C3532" t="s">
        <v>11085</v>
      </c>
      <c r="D3532" t="s">
        <v>11086</v>
      </c>
      <c r="E3532" t="s">
        <v>118</v>
      </c>
      <c r="F3532" t="s">
        <v>313</v>
      </c>
      <c r="G3532" t="s">
        <v>12</v>
      </c>
      <c r="H3532">
        <f>50462*(1.01^10)</f>
        <v>55741.441692500215</v>
      </c>
      <c r="I3532">
        <f>216926*(1.01^10)</f>
        <v>239621.25917695099</v>
      </c>
      <c r="J3532" t="s">
        <v>11087</v>
      </c>
      <c r="K3532">
        <f t="shared" si="55"/>
        <v>405.1407225626586</v>
      </c>
    </row>
    <row r="3533" spans="1:11" x14ac:dyDescent="0.2">
      <c r="A3533" t="s">
        <v>61</v>
      </c>
      <c r="B3533" t="s">
        <v>5282</v>
      </c>
      <c r="C3533" t="s">
        <v>11088</v>
      </c>
      <c r="D3533" t="s">
        <v>11089</v>
      </c>
      <c r="E3533" t="s">
        <v>2873</v>
      </c>
      <c r="F3533" t="s">
        <v>445</v>
      </c>
      <c r="G3533" t="s">
        <v>12</v>
      </c>
      <c r="H3533">
        <f>36052*(1.01^10)</f>
        <v>39823.836865324753</v>
      </c>
      <c r="I3533">
        <f>156554*(1.01^10)</f>
        <v>172933.01222162574</v>
      </c>
      <c r="J3533" t="s">
        <v>11090</v>
      </c>
      <c r="K3533">
        <f t="shared" si="55"/>
        <v>421.60376979162584</v>
      </c>
    </row>
    <row r="3534" spans="1:11" x14ac:dyDescent="0.2">
      <c r="A3534" t="s">
        <v>61</v>
      </c>
      <c r="B3534" t="s">
        <v>5282</v>
      </c>
      <c r="C3534" t="s">
        <v>11091</v>
      </c>
      <c r="D3534" t="s">
        <v>11092</v>
      </c>
      <c r="E3534" t="s">
        <v>1533</v>
      </c>
      <c r="F3534" t="s">
        <v>829</v>
      </c>
      <c r="G3534" t="s">
        <v>12</v>
      </c>
      <c r="H3534">
        <f>57962*(1.01^10)</f>
        <v>64026.107633084248</v>
      </c>
      <c r="I3534">
        <f>254882*(1.01^10)</f>
        <v>281548.29656905867</v>
      </c>
      <c r="J3534" t="s">
        <v>11093</v>
      </c>
      <c r="K3534">
        <f t="shared" si="55"/>
        <v>287.75836835107521</v>
      </c>
    </row>
    <row r="3535" spans="1:11" x14ac:dyDescent="0.2">
      <c r="A3535" t="s">
        <v>61</v>
      </c>
      <c r="B3535" t="s">
        <v>5282</v>
      </c>
      <c r="C3535" t="s">
        <v>11094</v>
      </c>
      <c r="D3535" t="s">
        <v>11095</v>
      </c>
      <c r="E3535" t="s">
        <v>1267</v>
      </c>
      <c r="F3535" t="s">
        <v>764</v>
      </c>
      <c r="G3535" t="s">
        <v>12</v>
      </c>
      <c r="H3535">
        <f>41808*(1.01^10)</f>
        <v>46182.041819191647</v>
      </c>
      <c r="I3535">
        <f>189711*(1.01^10)</f>
        <v>209558.96803388506</v>
      </c>
      <c r="J3535" t="s">
        <v>11096</v>
      </c>
      <c r="K3535">
        <f t="shared" si="55"/>
        <v>549.23804943743266</v>
      </c>
    </row>
    <row r="3536" spans="1:11" x14ac:dyDescent="0.2">
      <c r="A3536" t="s">
        <v>61</v>
      </c>
      <c r="B3536" t="s">
        <v>5282</v>
      </c>
      <c r="C3536" t="s">
        <v>11097</v>
      </c>
      <c r="D3536" t="s">
        <v>11098</v>
      </c>
      <c r="E3536" t="s">
        <v>6916</v>
      </c>
      <c r="F3536" t="s">
        <v>1545</v>
      </c>
      <c r="G3536" t="s">
        <v>12</v>
      </c>
      <c r="H3536">
        <f>37380*(1.01^10)</f>
        <v>41290.775047870833</v>
      </c>
      <c r="I3536">
        <f>173041*(1.01^10)</f>
        <v>191144.91720328029</v>
      </c>
      <c r="J3536" t="s">
        <v>11099</v>
      </c>
      <c r="K3536">
        <f t="shared" si="55"/>
        <v>362.03824076009499</v>
      </c>
    </row>
    <row r="3537" spans="1:11" x14ac:dyDescent="0.2">
      <c r="A3537" t="s">
        <v>61</v>
      </c>
      <c r="B3537" t="s">
        <v>5282</v>
      </c>
      <c r="C3537" t="s">
        <v>11100</v>
      </c>
      <c r="D3537" t="s">
        <v>11101</v>
      </c>
      <c r="E3537" t="s">
        <v>133</v>
      </c>
      <c r="F3537" t="s">
        <v>274</v>
      </c>
      <c r="G3537" t="s">
        <v>11</v>
      </c>
      <c r="H3537">
        <f>99262*(1.01^10)</f>
        <v>109647.001412567</v>
      </c>
      <c r="I3537">
        <f>479663*(1.01^10)</f>
        <v>529846.36254111468</v>
      </c>
      <c r="J3537" t="s">
        <v>11102</v>
      </c>
      <c r="K3537">
        <f t="shared" si="55"/>
        <v>786.89315575249179</v>
      </c>
    </row>
    <row r="3538" spans="1:11" x14ac:dyDescent="0.2">
      <c r="A3538" t="s">
        <v>61</v>
      </c>
      <c r="B3538" t="s">
        <v>5282</v>
      </c>
      <c r="C3538" t="s">
        <v>11103</v>
      </c>
      <c r="D3538" t="s">
        <v>11104</v>
      </c>
      <c r="E3538" t="s">
        <v>1617</v>
      </c>
      <c r="F3538" t="s">
        <v>744</v>
      </c>
      <c r="G3538" t="s">
        <v>24</v>
      </c>
      <c r="H3538">
        <f>23901*(1.01^10)</f>
        <v>26401.573419453205</v>
      </c>
      <c r="I3538">
        <f>103346*(1.01^10)</f>
        <v>114158.27817274636</v>
      </c>
      <c r="J3538" t="s">
        <v>11105</v>
      </c>
      <c r="K3538">
        <f t="shared" si="55"/>
        <v>361.68134654381726</v>
      </c>
    </row>
    <row r="3539" spans="1:11" x14ac:dyDescent="0.2">
      <c r="A3539" t="s">
        <v>61</v>
      </c>
      <c r="B3539" t="s">
        <v>5282</v>
      </c>
      <c r="C3539" t="s">
        <v>11106</v>
      </c>
      <c r="D3539" t="s">
        <v>11107</v>
      </c>
      <c r="E3539" t="s">
        <v>1215</v>
      </c>
      <c r="F3539" t="s">
        <v>1340</v>
      </c>
      <c r="G3539" t="s">
        <v>12</v>
      </c>
      <c r="H3539">
        <f>30171*(1.01^10)</f>
        <v>33327.554145781462</v>
      </c>
      <c r="I3539">
        <f>127323*(1.01^10)</f>
        <v>140643.80287373083</v>
      </c>
      <c r="J3539" t="s">
        <v>11108</v>
      </c>
      <c r="K3539">
        <f t="shared" si="55"/>
        <v>410.80908196406125</v>
      </c>
    </row>
    <row r="3540" spans="1:11" x14ac:dyDescent="0.2">
      <c r="A3540" t="s">
        <v>61</v>
      </c>
      <c r="B3540" t="s">
        <v>11109</v>
      </c>
      <c r="C3540" t="s">
        <v>11110</v>
      </c>
      <c r="D3540" t="s">
        <v>11111</v>
      </c>
      <c r="E3540" t="s">
        <v>368</v>
      </c>
      <c r="F3540" t="s">
        <v>6</v>
      </c>
      <c r="G3540" t="s">
        <v>12</v>
      </c>
      <c r="H3540">
        <f>27571*(1.01^10)</f>
        <v>30455.536619712326</v>
      </c>
      <c r="I3540">
        <f>124447*(1.01^10)</f>
        <v>137466.9096410482</v>
      </c>
      <c r="J3540" t="s">
        <v>1737</v>
      </c>
      <c r="K3540">
        <f t="shared" si="55"/>
        <v>364.6337125757247</v>
      </c>
    </row>
    <row r="3541" spans="1:11" x14ac:dyDescent="0.2">
      <c r="A3541" t="s">
        <v>61</v>
      </c>
      <c r="B3541" t="s">
        <v>11109</v>
      </c>
      <c r="C3541" t="s">
        <v>11112</v>
      </c>
      <c r="D3541" t="s">
        <v>11113</v>
      </c>
      <c r="E3541" t="s">
        <v>282</v>
      </c>
      <c r="F3541" t="s">
        <v>313</v>
      </c>
      <c r="G3541" t="s">
        <v>12</v>
      </c>
      <c r="H3541">
        <f>23237*(1.01^10)</f>
        <v>25668.104328180165</v>
      </c>
      <c r="I3541">
        <f>105236*(1.01^10)</f>
        <v>116246.01398977355</v>
      </c>
      <c r="J3541" t="s">
        <v>11114</v>
      </c>
      <c r="K3541">
        <f t="shared" si="55"/>
        <v>202.94510734293476</v>
      </c>
    </row>
    <row r="3542" spans="1:11" x14ac:dyDescent="0.2">
      <c r="A3542" t="s">
        <v>61</v>
      </c>
      <c r="B3542" t="s">
        <v>11109</v>
      </c>
      <c r="C3542" t="s">
        <v>11115</v>
      </c>
      <c r="D3542" t="s">
        <v>5165</v>
      </c>
      <c r="E3542" t="s">
        <v>738</v>
      </c>
      <c r="F3542" t="s">
        <v>445</v>
      </c>
      <c r="G3542" t="s">
        <v>24</v>
      </c>
      <c r="H3542">
        <f>52392*(1.01^10)</f>
        <v>57873.362394543838</v>
      </c>
      <c r="I3542">
        <f>228975*(1.01^10)</f>
        <v>252930.8511660306</v>
      </c>
      <c r="J3542" t="s">
        <v>11116</v>
      </c>
      <c r="K3542">
        <f t="shared" si="55"/>
        <v>141.53645121532043</v>
      </c>
    </row>
    <row r="3543" spans="1:11" x14ac:dyDescent="0.2">
      <c r="A3543" t="s">
        <v>61</v>
      </c>
      <c r="B3543" t="s">
        <v>11109</v>
      </c>
      <c r="C3543" t="s">
        <v>11117</v>
      </c>
      <c r="D3543" t="s">
        <v>2363</v>
      </c>
      <c r="E3543" t="s">
        <v>1223</v>
      </c>
      <c r="F3543" t="s">
        <v>5</v>
      </c>
      <c r="G3543" t="s">
        <v>11</v>
      </c>
      <c r="H3543">
        <f>24503*(1.01^10)</f>
        <v>27066.555938950751</v>
      </c>
      <c r="I3543">
        <f>107659*(1.01^10)</f>
        <v>118922.51339964489</v>
      </c>
      <c r="J3543" t="s">
        <v>11118</v>
      </c>
      <c r="K3543">
        <f t="shared" si="55"/>
        <v>149.64867850271747</v>
      </c>
    </row>
    <row r="3544" spans="1:11" x14ac:dyDescent="0.2">
      <c r="A3544" t="s">
        <v>61</v>
      </c>
      <c r="B3544" t="s">
        <v>11109</v>
      </c>
      <c r="C3544" t="s">
        <v>11119</v>
      </c>
      <c r="D3544" t="s">
        <v>11120</v>
      </c>
      <c r="E3544" t="s">
        <v>164</v>
      </c>
      <c r="F3544" t="s">
        <v>11</v>
      </c>
      <c r="G3544" t="s">
        <v>17</v>
      </c>
      <c r="H3544">
        <f>17321*(1.01^10)</f>
        <v>19133.159834247479</v>
      </c>
      <c r="I3544">
        <f>78441*(1.01^10)</f>
        <v>86647.664139380315</v>
      </c>
      <c r="J3544" t="s">
        <v>11121</v>
      </c>
      <c r="K3544">
        <f t="shared" si="55"/>
        <v>159.13545545258924</v>
      </c>
    </row>
    <row r="3545" spans="1:11" x14ac:dyDescent="0.2">
      <c r="A3545" t="s">
        <v>61</v>
      </c>
      <c r="B3545" t="s">
        <v>1189</v>
      </c>
      <c r="C3545" t="s">
        <v>11122</v>
      </c>
      <c r="D3545" t="s">
        <v>11123</v>
      </c>
      <c r="E3545" t="s">
        <v>1944</v>
      </c>
      <c r="F3545" t="s">
        <v>1340</v>
      </c>
      <c r="G3545" t="s">
        <v>11</v>
      </c>
      <c r="H3545">
        <f>31378*(1.01^10)</f>
        <v>34660.833051152782</v>
      </c>
      <c r="I3545">
        <f>140890*(1.01^10)</f>
        <v>155630.21124918465</v>
      </c>
      <c r="J3545" t="s">
        <v>11124</v>
      </c>
      <c r="K3545">
        <f t="shared" si="55"/>
        <v>231.65296531636798</v>
      </c>
    </row>
    <row r="3546" spans="1:11" x14ac:dyDescent="0.2">
      <c r="A3546" t="s">
        <v>61</v>
      </c>
      <c r="B3546" t="s">
        <v>1189</v>
      </c>
      <c r="C3546" t="s">
        <v>11125</v>
      </c>
      <c r="D3546" t="s">
        <v>11126</v>
      </c>
      <c r="E3546" t="s">
        <v>467</v>
      </c>
      <c r="F3546" t="s">
        <v>47</v>
      </c>
      <c r="G3546" t="s">
        <v>17</v>
      </c>
      <c r="H3546">
        <f>22136*(1.01^10)</f>
        <v>24451.915368102429</v>
      </c>
      <c r="I3546">
        <f>105288*(1.01^10)</f>
        <v>116303.45434029492</v>
      </c>
      <c r="J3546" t="s">
        <v>11127</v>
      </c>
      <c r="K3546">
        <f t="shared" si="55"/>
        <v>128.46517437109321</v>
      </c>
    </row>
    <row r="3547" spans="1:11" x14ac:dyDescent="0.2">
      <c r="A3547" t="s">
        <v>61</v>
      </c>
      <c r="B3547" t="s">
        <v>1189</v>
      </c>
      <c r="C3547" t="s">
        <v>11128</v>
      </c>
      <c r="D3547" t="s">
        <v>11129</v>
      </c>
      <c r="E3547" t="s">
        <v>436</v>
      </c>
      <c r="F3547" t="s">
        <v>92</v>
      </c>
      <c r="G3547" t="s">
        <v>12</v>
      </c>
      <c r="H3547">
        <f>51000*(1.01^10)</f>
        <v>56335.72839597144</v>
      </c>
      <c r="I3547">
        <f>239519*(1.01^10)</f>
        <v>264577.98685636633</v>
      </c>
      <c r="J3547" t="s">
        <v>11130</v>
      </c>
      <c r="K3547">
        <f t="shared" si="55"/>
        <v>467.05185450133638</v>
      </c>
    </row>
    <row r="3548" spans="1:11" x14ac:dyDescent="0.2">
      <c r="A3548" t="s">
        <v>61</v>
      </c>
      <c r="B3548" t="s">
        <v>1189</v>
      </c>
      <c r="C3548" t="s">
        <v>11131</v>
      </c>
      <c r="D3548" t="s">
        <v>11132</v>
      </c>
      <c r="E3548" t="s">
        <v>1054</v>
      </c>
      <c r="F3548" t="s">
        <v>6</v>
      </c>
      <c r="G3548" t="s">
        <v>12</v>
      </c>
      <c r="H3548">
        <f>16295*(1.01^10)</f>
        <v>17999.81753357558</v>
      </c>
      <c r="I3548">
        <f>72829*(1.01^10)</f>
        <v>80448.524771572629</v>
      </c>
      <c r="J3548" t="s">
        <v>11133</v>
      </c>
      <c r="K3548">
        <f t="shared" si="55"/>
        <v>284.88968527936373</v>
      </c>
    </row>
    <row r="3549" spans="1:11" x14ac:dyDescent="0.2">
      <c r="A3549" t="s">
        <v>61</v>
      </c>
      <c r="B3549" t="s">
        <v>1189</v>
      </c>
      <c r="C3549" t="s">
        <v>11134</v>
      </c>
      <c r="D3549" t="s">
        <v>11135</v>
      </c>
      <c r="E3549" t="s">
        <v>301</v>
      </c>
      <c r="F3549" t="s">
        <v>619</v>
      </c>
      <c r="G3549" t="s">
        <v>11</v>
      </c>
      <c r="H3549">
        <f>58937*(1.01^10)</f>
        <v>65103.114205360172</v>
      </c>
      <c r="I3549">
        <f>267541*(1.01^10)</f>
        <v>295531.70805463911</v>
      </c>
      <c r="J3549" t="s">
        <v>11136</v>
      </c>
      <c r="K3549">
        <f t="shared" si="55"/>
        <v>161.49498732918326</v>
      </c>
    </row>
    <row r="3550" spans="1:11" x14ac:dyDescent="0.2">
      <c r="A3550" t="s">
        <v>61</v>
      </c>
      <c r="B3550" t="s">
        <v>1073</v>
      </c>
      <c r="C3550" t="s">
        <v>11137</v>
      </c>
      <c r="D3550" t="s">
        <v>11138</v>
      </c>
      <c r="E3550" t="s">
        <v>253</v>
      </c>
      <c r="F3550" t="s">
        <v>356</v>
      </c>
      <c r="G3550" t="s">
        <v>17</v>
      </c>
      <c r="H3550">
        <f>31678*(1.01^10)</f>
        <v>34992.219688776146</v>
      </c>
      <c r="I3550">
        <f>151297*(1.01^10)</f>
        <v>167126.01370833904</v>
      </c>
      <c r="J3550" t="s">
        <v>11139</v>
      </c>
      <c r="K3550">
        <f t="shared" si="55"/>
        <v>157.14379484131456</v>
      </c>
    </row>
    <row r="3551" spans="1:11" x14ac:dyDescent="0.2">
      <c r="A3551" t="s">
        <v>61</v>
      </c>
      <c r="B3551" t="s">
        <v>1073</v>
      </c>
      <c r="C3551" t="s">
        <v>11140</v>
      </c>
      <c r="D3551" t="s">
        <v>11141</v>
      </c>
      <c r="E3551" t="s">
        <v>3215</v>
      </c>
      <c r="F3551" t="s">
        <v>24</v>
      </c>
      <c r="G3551" t="s">
        <v>11</v>
      </c>
      <c r="H3551">
        <f>47140*(1.01^10)</f>
        <v>52071.886991884188</v>
      </c>
      <c r="I3551">
        <f>203923*(1.01^10)</f>
        <v>225257.85768022909</v>
      </c>
      <c r="J3551" t="s">
        <v>11142</v>
      </c>
      <c r="K3551">
        <f t="shared" si="55"/>
        <v>281.69448118516692</v>
      </c>
    </row>
    <row r="3552" spans="1:11" x14ac:dyDescent="0.2">
      <c r="A3552" t="s">
        <v>61</v>
      </c>
      <c r="B3552" t="s">
        <v>1073</v>
      </c>
      <c r="C3552" t="s">
        <v>11143</v>
      </c>
      <c r="D3552" t="s">
        <v>11144</v>
      </c>
      <c r="E3552" t="s">
        <v>368</v>
      </c>
      <c r="F3552" t="s">
        <v>158</v>
      </c>
      <c r="G3552" t="s">
        <v>12</v>
      </c>
      <c r="H3552">
        <f>28880*(1.01^10)</f>
        <v>31901.486981875594</v>
      </c>
      <c r="I3552">
        <f>135181*(1.01^10)</f>
        <v>149323.92353521206</v>
      </c>
      <c r="J3552" t="s">
        <v>11145</v>
      </c>
      <c r="K3552">
        <f t="shared" si="55"/>
        <v>242.08979129177303</v>
      </c>
    </row>
    <row r="3553" spans="1:11" x14ac:dyDescent="0.2">
      <c r="A3553" t="s">
        <v>61</v>
      </c>
      <c r="B3553" t="s">
        <v>1073</v>
      </c>
      <c r="C3553" t="s">
        <v>11146</v>
      </c>
      <c r="D3553" t="s">
        <v>11147</v>
      </c>
      <c r="E3553" t="s">
        <v>172</v>
      </c>
      <c r="F3553" t="s">
        <v>17</v>
      </c>
      <c r="G3553" t="s">
        <v>12</v>
      </c>
      <c r="H3553">
        <f>26580*(1.01^10)</f>
        <v>29360.856093429822</v>
      </c>
      <c r="I3553">
        <f>125848*(1.01^10)</f>
        <v>139014.4852387493</v>
      </c>
      <c r="J3553" t="s">
        <v>11148</v>
      </c>
      <c r="K3553">
        <f t="shared" si="55"/>
        <v>271.00011300731131</v>
      </c>
    </row>
    <row r="3554" spans="1:11" x14ac:dyDescent="0.2">
      <c r="A3554" t="s">
        <v>61</v>
      </c>
      <c r="B3554" t="s">
        <v>1073</v>
      </c>
      <c r="C3554" t="s">
        <v>11149</v>
      </c>
      <c r="D3554" t="s">
        <v>11150</v>
      </c>
      <c r="E3554" t="s">
        <v>833</v>
      </c>
      <c r="F3554" t="s">
        <v>5</v>
      </c>
      <c r="G3554" t="s">
        <v>12</v>
      </c>
      <c r="H3554">
        <f>69999*(1.01^10)</f>
        <v>77322.444156658923</v>
      </c>
      <c r="I3554">
        <f>336388*(1.01^10)</f>
        <v>371581.62752282433</v>
      </c>
      <c r="J3554" t="s">
        <v>11151</v>
      </c>
      <c r="K3554">
        <f t="shared" si="55"/>
        <v>397.45389561143321</v>
      </c>
    </row>
    <row r="3555" spans="1:11" x14ac:dyDescent="0.2">
      <c r="A3555" t="s">
        <v>61</v>
      </c>
      <c r="B3555" t="s">
        <v>1073</v>
      </c>
      <c r="C3555" t="s">
        <v>11152</v>
      </c>
      <c r="D3555" t="s">
        <v>11153</v>
      </c>
      <c r="E3555" t="s">
        <v>837</v>
      </c>
      <c r="F3555" t="s">
        <v>24</v>
      </c>
      <c r="G3555" t="s">
        <v>12</v>
      </c>
      <c r="H3555">
        <f>22786*(1.01^10)</f>
        <v>25169.919749619712</v>
      </c>
      <c r="I3555">
        <f>109572*(1.01^10)</f>
        <v>121035.65552555653</v>
      </c>
      <c r="J3555" t="s">
        <v>11154</v>
      </c>
      <c r="K3555">
        <f t="shared" si="55"/>
        <v>369.1250240130297</v>
      </c>
    </row>
    <row r="3556" spans="1:11" x14ac:dyDescent="0.2">
      <c r="A3556" t="s">
        <v>61</v>
      </c>
      <c r="B3556" t="s">
        <v>1073</v>
      </c>
      <c r="C3556" t="s">
        <v>11155</v>
      </c>
      <c r="D3556" t="s">
        <v>11156</v>
      </c>
      <c r="E3556" t="s">
        <v>1525</v>
      </c>
      <c r="F3556" t="s">
        <v>152</v>
      </c>
      <c r="G3556" t="s">
        <v>12</v>
      </c>
      <c r="H3556">
        <f>40280*(1.01^10)</f>
        <v>44494.179211563329</v>
      </c>
      <c r="I3556">
        <f>189814*(1.01^10)</f>
        <v>209672.74411280241</v>
      </c>
      <c r="J3556" t="s">
        <v>11157</v>
      </c>
      <c r="K3556">
        <f t="shared" si="55"/>
        <v>249.20246078801298</v>
      </c>
    </row>
    <row r="3557" spans="1:11" x14ac:dyDescent="0.2">
      <c r="A3557" t="s">
        <v>61</v>
      </c>
      <c r="B3557" t="s">
        <v>1073</v>
      </c>
      <c r="C3557" t="s">
        <v>11158</v>
      </c>
      <c r="D3557" t="s">
        <v>11159</v>
      </c>
      <c r="E3557" t="s">
        <v>1106</v>
      </c>
      <c r="F3557" t="s">
        <v>12</v>
      </c>
      <c r="G3557" t="s">
        <v>12</v>
      </c>
      <c r="H3557">
        <f>19465*(1.01^10)</f>
        <v>21501.4696711291</v>
      </c>
      <c r="I3557">
        <f>88388*(1.01^10)</f>
        <v>97635.340420845561</v>
      </c>
      <c r="J3557" t="s">
        <v>11160</v>
      </c>
      <c r="K3557">
        <f t="shared" si="55"/>
        <v>222.97856466045016</v>
      </c>
    </row>
    <row r="3558" spans="1:11" x14ac:dyDescent="0.2">
      <c r="A3558" t="s">
        <v>61</v>
      </c>
      <c r="B3558" t="s">
        <v>11161</v>
      </c>
      <c r="C3558" t="s">
        <v>11162</v>
      </c>
      <c r="D3558" t="s">
        <v>11163</v>
      </c>
      <c r="E3558" t="s">
        <v>2395</v>
      </c>
      <c r="F3558" t="s">
        <v>12</v>
      </c>
      <c r="G3558" t="s">
        <v>12</v>
      </c>
      <c r="H3558">
        <f>28865*(1.01^10)</f>
        <v>31884.917649994426</v>
      </c>
      <c r="I3558">
        <f>138362*(1.01^10)</f>
        <v>152837.72651614511</v>
      </c>
      <c r="J3558" t="s">
        <v>11164</v>
      </c>
      <c r="K3558">
        <f t="shared" si="55"/>
        <v>249.62231487523076</v>
      </c>
    </row>
    <row r="3559" spans="1:11" x14ac:dyDescent="0.2">
      <c r="A3559" t="s">
        <v>61</v>
      </c>
      <c r="B3559" t="s">
        <v>11161</v>
      </c>
      <c r="C3559" t="s">
        <v>11165</v>
      </c>
      <c r="D3559" t="s">
        <v>11166</v>
      </c>
      <c r="E3559" t="s">
        <v>1352</v>
      </c>
      <c r="F3559" t="s">
        <v>11</v>
      </c>
      <c r="G3559" t="s">
        <v>17</v>
      </c>
      <c r="H3559">
        <f>48777*(1.01^10)</f>
        <v>53880.153411182335</v>
      </c>
      <c r="I3559">
        <f>243070*(1.01^10)</f>
        <v>268500.50002370152</v>
      </c>
      <c r="J3559" t="s">
        <v>11167</v>
      </c>
      <c r="K3559">
        <f t="shared" si="55"/>
        <v>353.16818845495499</v>
      </c>
    </row>
    <row r="3560" spans="1:11" x14ac:dyDescent="0.2">
      <c r="A3560" t="s">
        <v>61</v>
      </c>
      <c r="B3560" t="s">
        <v>11161</v>
      </c>
      <c r="C3560" t="s">
        <v>11168</v>
      </c>
      <c r="D3560" t="s">
        <v>11169</v>
      </c>
      <c r="E3560" t="s">
        <v>1002</v>
      </c>
      <c r="F3560" t="s">
        <v>92</v>
      </c>
      <c r="G3560" t="s">
        <v>12</v>
      </c>
      <c r="H3560">
        <f>22794*(1.01^10)</f>
        <v>25178.756726623</v>
      </c>
      <c r="I3560">
        <f>111970*(1.01^10)</f>
        <v>123684.5393822926</v>
      </c>
      <c r="J3560" t="s">
        <v>11170</v>
      </c>
      <c r="K3560">
        <f t="shared" si="55"/>
        <v>233.83965857425497</v>
      </c>
    </row>
    <row r="3561" spans="1:11" x14ac:dyDescent="0.2">
      <c r="A3561" t="s">
        <v>61</v>
      </c>
      <c r="B3561" t="s">
        <v>11161</v>
      </c>
      <c r="C3561" t="s">
        <v>11171</v>
      </c>
      <c r="D3561" t="s">
        <v>11172</v>
      </c>
      <c r="E3561" t="s">
        <v>484</v>
      </c>
      <c r="F3561" t="s">
        <v>12</v>
      </c>
      <c r="G3561" t="s">
        <v>12</v>
      </c>
      <c r="H3561">
        <f>22047*(1.01^10)</f>
        <v>24353.603998940831</v>
      </c>
      <c r="I3561">
        <f>106988*(1.01^10)</f>
        <v>118181.31195349398</v>
      </c>
      <c r="J3561" t="s">
        <v>11173</v>
      </c>
      <c r="K3561">
        <f t="shared" si="55"/>
        <v>280.83441548551309</v>
      </c>
    </row>
    <row r="3562" spans="1:11" x14ac:dyDescent="0.2">
      <c r="A3562" t="s">
        <v>61</v>
      </c>
      <c r="B3562" t="s">
        <v>11161</v>
      </c>
      <c r="C3562" t="s">
        <v>11174</v>
      </c>
      <c r="D3562" t="s">
        <v>11175</v>
      </c>
      <c r="E3562" t="s">
        <v>1288</v>
      </c>
      <c r="F3562" t="s">
        <v>17</v>
      </c>
      <c r="G3562" t="s">
        <v>12</v>
      </c>
      <c r="H3562">
        <f>27796*(1.01^10)</f>
        <v>30704.076597929849</v>
      </c>
      <c r="I3562">
        <f>134959*(1.01^10)</f>
        <v>149078.69742337079</v>
      </c>
      <c r="J3562" t="s">
        <v>11176</v>
      </c>
      <c r="K3562">
        <f t="shared" si="55"/>
        <v>277.83539187632056</v>
      </c>
    </row>
    <row r="3563" spans="1:11" x14ac:dyDescent="0.2">
      <c r="A3563" t="s">
        <v>61</v>
      </c>
      <c r="B3563" t="s">
        <v>11161</v>
      </c>
      <c r="C3563" t="s">
        <v>11177</v>
      </c>
      <c r="D3563" t="s">
        <v>11178</v>
      </c>
      <c r="E3563" t="s">
        <v>766</v>
      </c>
      <c r="F3563" t="s">
        <v>12</v>
      </c>
      <c r="G3563" t="s">
        <v>24</v>
      </c>
      <c r="H3563">
        <f>17245*(1.01^10)</f>
        <v>19049.208552716227</v>
      </c>
      <c r="I3563">
        <f>80290*(1.01^10)</f>
        <v>88690.11044926563</v>
      </c>
      <c r="J3563" t="s">
        <v>11179</v>
      </c>
      <c r="K3563">
        <f t="shared" si="55"/>
        <v>269.98450055482806</v>
      </c>
    </row>
    <row r="3564" spans="1:11" x14ac:dyDescent="0.2">
      <c r="A3564" t="s">
        <v>61</v>
      </c>
      <c r="B3564" t="s">
        <v>11161</v>
      </c>
      <c r="C3564" t="s">
        <v>11180</v>
      </c>
      <c r="D3564" t="s">
        <v>11181</v>
      </c>
      <c r="E3564" t="s">
        <v>589</v>
      </c>
      <c r="F3564" t="s">
        <v>24</v>
      </c>
      <c r="G3564" t="s">
        <v>24</v>
      </c>
      <c r="H3564">
        <f>17657*(1.01^10)</f>
        <v>19504.312868385641</v>
      </c>
      <c r="I3564">
        <f>84171*(1.01^10)</f>
        <v>92977.148917986517</v>
      </c>
      <c r="J3564" t="s">
        <v>11182</v>
      </c>
      <c r="K3564">
        <f t="shared" si="55"/>
        <v>263.9897795959738</v>
      </c>
    </row>
    <row r="3565" spans="1:11" x14ac:dyDescent="0.2">
      <c r="A3565" t="s">
        <v>61</v>
      </c>
      <c r="B3565" t="s">
        <v>11161</v>
      </c>
      <c r="C3565" t="s">
        <v>11183</v>
      </c>
      <c r="D3565" t="s">
        <v>11184</v>
      </c>
      <c r="E3565" t="s">
        <v>3215</v>
      </c>
      <c r="F3565" t="s">
        <v>11</v>
      </c>
      <c r="G3565" t="s">
        <v>5</v>
      </c>
      <c r="H3565">
        <f>111502*(1.01^10)</f>
        <v>123167.57622760015</v>
      </c>
      <c r="I3565">
        <f>555259*(1.01^10)</f>
        <v>613351.37673370016</v>
      </c>
      <c r="J3565" t="s">
        <v>11185</v>
      </c>
      <c r="K3565">
        <f t="shared" si="55"/>
        <v>464.1507656890148</v>
      </c>
    </row>
    <row r="3566" spans="1:11" x14ac:dyDescent="0.2">
      <c r="A3566" t="s">
        <v>61</v>
      </c>
      <c r="B3566" t="s">
        <v>1019</v>
      </c>
      <c r="C3566" t="s">
        <v>11186</v>
      </c>
      <c r="D3566" t="s">
        <v>11187</v>
      </c>
      <c r="E3566" t="s">
        <v>626</v>
      </c>
      <c r="F3566" t="s">
        <v>24</v>
      </c>
      <c r="G3566" t="s">
        <v>12</v>
      </c>
      <c r="H3566">
        <f>31421*(1.01^10)</f>
        <v>34708.331802545465</v>
      </c>
      <c r="I3566">
        <f>161270*(1.01^10)</f>
        <v>178142.410165065</v>
      </c>
      <c r="J3566" t="s">
        <v>11188</v>
      </c>
      <c r="K3566">
        <f t="shared" si="55"/>
        <v>279.15486027024377</v>
      </c>
    </row>
    <row r="3567" spans="1:11" x14ac:dyDescent="0.2">
      <c r="A3567" t="s">
        <v>61</v>
      </c>
      <c r="B3567" t="s">
        <v>1019</v>
      </c>
      <c r="C3567" t="s">
        <v>11189</v>
      </c>
      <c r="D3567" t="s">
        <v>11190</v>
      </c>
      <c r="E3567" t="s">
        <v>626</v>
      </c>
      <c r="F3567" t="s">
        <v>24</v>
      </c>
      <c r="G3567" t="s">
        <v>17</v>
      </c>
      <c r="H3567">
        <f>47494*(1.01^10)</f>
        <v>52462.923224279759</v>
      </c>
      <c r="I3567">
        <f>237996*(1.01^10)</f>
        <v>262895.64735936507</v>
      </c>
      <c r="J3567" t="s">
        <v>11191</v>
      </c>
      <c r="K3567">
        <f t="shared" si="55"/>
        <v>403.35400940893356</v>
      </c>
    </row>
    <row r="3568" spans="1:11" x14ac:dyDescent="0.2">
      <c r="A3568" t="s">
        <v>61</v>
      </c>
      <c r="B3568" t="s">
        <v>1019</v>
      </c>
      <c r="C3568" t="s">
        <v>11192</v>
      </c>
      <c r="D3568" t="s">
        <v>11193</v>
      </c>
      <c r="E3568" t="s">
        <v>139</v>
      </c>
      <c r="F3568" t="s">
        <v>12</v>
      </c>
      <c r="G3568" t="s">
        <v>17</v>
      </c>
      <c r="H3568">
        <f>51696*(1.01^10)</f>
        <v>57104.545395257643</v>
      </c>
      <c r="I3568">
        <f>259299*(1.01^10)</f>
        <v>286427.41249699995</v>
      </c>
      <c r="J3568" t="s">
        <v>11194</v>
      </c>
      <c r="K3568">
        <f t="shared" si="55"/>
        <v>252.00806693721177</v>
      </c>
    </row>
    <row r="3569" spans="1:11" x14ac:dyDescent="0.2">
      <c r="A3569" t="s">
        <v>61</v>
      </c>
      <c r="B3569" t="s">
        <v>1019</v>
      </c>
      <c r="C3569" t="s">
        <v>11195</v>
      </c>
      <c r="D3569" t="s">
        <v>11196</v>
      </c>
      <c r="E3569" t="s">
        <v>555</v>
      </c>
      <c r="F3569" t="s">
        <v>24</v>
      </c>
      <c r="G3569" t="s">
        <v>24</v>
      </c>
      <c r="H3569">
        <f>27553*(1.01^10)</f>
        <v>30435.653421454925</v>
      </c>
      <c r="I3569">
        <f>138861*(1.01^10)</f>
        <v>153388.9329567253</v>
      </c>
      <c r="J3569" t="s">
        <v>11197</v>
      </c>
      <c r="K3569">
        <f t="shared" si="55"/>
        <v>238.9228890266819</v>
      </c>
    </row>
    <row r="3570" spans="1:11" x14ac:dyDescent="0.2">
      <c r="A3570" t="s">
        <v>61</v>
      </c>
      <c r="B3570" t="s">
        <v>1019</v>
      </c>
      <c r="C3570" t="s">
        <v>11198</v>
      </c>
      <c r="D3570" t="s">
        <v>11199</v>
      </c>
      <c r="E3570" t="s">
        <v>144</v>
      </c>
      <c r="F3570" t="s">
        <v>11</v>
      </c>
      <c r="G3570" t="s">
        <v>17</v>
      </c>
      <c r="H3570">
        <f>51378*(1.01^10)</f>
        <v>56753.275559376874</v>
      </c>
      <c r="I3570">
        <f>247299*(1.01^10)</f>
        <v>273171.94699206552</v>
      </c>
      <c r="J3570" t="s">
        <v>11200</v>
      </c>
      <c r="K3570">
        <f t="shared" si="55"/>
        <v>261.18885080323543</v>
      </c>
    </row>
    <row r="3571" spans="1:11" x14ac:dyDescent="0.2">
      <c r="A3571" t="s">
        <v>61</v>
      </c>
      <c r="B3571" t="s">
        <v>1019</v>
      </c>
      <c r="C3571" t="s">
        <v>11201</v>
      </c>
      <c r="D3571" t="s">
        <v>11202</v>
      </c>
      <c r="E3571" t="s">
        <v>386</v>
      </c>
      <c r="F3571" t="s">
        <v>24</v>
      </c>
      <c r="G3571" t="s">
        <v>12</v>
      </c>
      <c r="H3571">
        <f>131663*(1.01^10)</f>
        <v>145437.86289801545</v>
      </c>
      <c r="I3571">
        <f>672566*(1.01^10)</f>
        <v>742931.28439931234</v>
      </c>
      <c r="J3571" t="s">
        <v>11203</v>
      </c>
      <c r="K3571">
        <f t="shared" si="55"/>
        <v>997.6420301773328</v>
      </c>
    </row>
    <row r="3572" spans="1:11" x14ac:dyDescent="0.2">
      <c r="A3572" t="s">
        <v>61</v>
      </c>
      <c r="B3572" t="s">
        <v>1019</v>
      </c>
      <c r="C3572" t="s">
        <v>11204</v>
      </c>
      <c r="D3572" t="s">
        <v>11205</v>
      </c>
      <c r="E3572" t="s">
        <v>811</v>
      </c>
      <c r="F3572" t="s">
        <v>17</v>
      </c>
      <c r="G3572" t="s">
        <v>12</v>
      </c>
      <c r="H3572">
        <f>50233*(1.01^10)</f>
        <v>55488.483225781049</v>
      </c>
      <c r="I3572">
        <f>269573*(1.01^10)</f>
        <v>297776.30021347472</v>
      </c>
      <c r="J3572" t="s">
        <v>11206</v>
      </c>
      <c r="K3572">
        <f t="shared" si="55"/>
        <v>241.71448579150245</v>
      </c>
    </row>
    <row r="3573" spans="1:11" x14ac:dyDescent="0.2">
      <c r="A3573" t="s">
        <v>61</v>
      </c>
      <c r="B3573" t="s">
        <v>11207</v>
      </c>
      <c r="C3573" t="s">
        <v>11208</v>
      </c>
      <c r="D3573" t="s">
        <v>11209</v>
      </c>
      <c r="E3573" t="s">
        <v>1328</v>
      </c>
      <c r="F3573" t="s">
        <v>6</v>
      </c>
      <c r="G3573" t="s">
        <v>17</v>
      </c>
      <c r="H3573">
        <f>29512*(1.01^10)</f>
        <v>32599.608165135476</v>
      </c>
      <c r="I3573">
        <f>143828*(1.01^10)</f>
        <v>158875.59105364277</v>
      </c>
      <c r="J3573" t="s">
        <v>11210</v>
      </c>
      <c r="K3573">
        <f t="shared" si="55"/>
        <v>235.28173513440439</v>
      </c>
    </row>
    <row r="3574" spans="1:11" x14ac:dyDescent="0.2">
      <c r="A3574" t="s">
        <v>61</v>
      </c>
      <c r="B3574" t="s">
        <v>11207</v>
      </c>
      <c r="C3574" t="s">
        <v>11211</v>
      </c>
      <c r="D3574" t="s">
        <v>11212</v>
      </c>
      <c r="E3574" t="s">
        <v>589</v>
      </c>
      <c r="F3574" t="s">
        <v>11</v>
      </c>
      <c r="G3574" t="s">
        <v>17</v>
      </c>
      <c r="H3574">
        <f>23725*(1.01^10)</f>
        <v>26207.159925380831</v>
      </c>
      <c r="I3574">
        <f>118592*(1.01^10)</f>
        <v>130999.34709676559</v>
      </c>
      <c r="J3574" t="s">
        <v>11213</v>
      </c>
      <c r="K3574">
        <f t="shared" si="55"/>
        <v>217.42345903787788</v>
      </c>
    </row>
    <row r="3575" spans="1:11" x14ac:dyDescent="0.2">
      <c r="A3575" t="s">
        <v>61</v>
      </c>
      <c r="B3575" t="s">
        <v>11207</v>
      </c>
      <c r="C3575" t="s">
        <v>11214</v>
      </c>
      <c r="D3575" t="s">
        <v>11215</v>
      </c>
      <c r="E3575" t="s">
        <v>679</v>
      </c>
      <c r="F3575" t="s">
        <v>24</v>
      </c>
      <c r="G3575" t="s">
        <v>12</v>
      </c>
      <c r="H3575">
        <f>26254*(1.01^10)</f>
        <v>29000.74928054577</v>
      </c>
      <c r="I3575">
        <f>135523*(1.01^10)</f>
        <v>149701.70430210271</v>
      </c>
      <c r="J3575" t="s">
        <v>11216</v>
      </c>
      <c r="K3575">
        <f t="shared" si="55"/>
        <v>206.02891706169638</v>
      </c>
    </row>
    <row r="3576" spans="1:11" x14ac:dyDescent="0.2">
      <c r="A3576" t="s">
        <v>61</v>
      </c>
      <c r="B3576" t="s">
        <v>11207</v>
      </c>
      <c r="C3576" t="s">
        <v>11217</v>
      </c>
      <c r="D3576" t="s">
        <v>11218</v>
      </c>
      <c r="E3576" t="s">
        <v>771</v>
      </c>
      <c r="F3576" t="s">
        <v>24</v>
      </c>
      <c r="G3576" t="s">
        <v>17</v>
      </c>
      <c r="H3576">
        <f>36380*(1.01^10)</f>
        <v>40186.152922459631</v>
      </c>
      <c r="I3576">
        <f>173335*(1.01^10)</f>
        <v>191469.67610815118</v>
      </c>
      <c r="J3576" t="s">
        <v>11219</v>
      </c>
      <c r="K3576">
        <f t="shared" si="55"/>
        <v>262.65934090054077</v>
      </c>
    </row>
    <row r="3577" spans="1:11" x14ac:dyDescent="0.2">
      <c r="A3577" t="s">
        <v>61</v>
      </c>
      <c r="B3577" t="s">
        <v>11207</v>
      </c>
      <c r="C3577" t="s">
        <v>11220</v>
      </c>
      <c r="D3577" t="s">
        <v>11221</v>
      </c>
      <c r="E3577" t="s">
        <v>2162</v>
      </c>
      <c r="F3577" t="s">
        <v>152</v>
      </c>
      <c r="G3577" t="s">
        <v>17</v>
      </c>
      <c r="H3577">
        <f>50030*(1.01^10)</f>
        <v>55264.244934322574</v>
      </c>
      <c r="I3577">
        <f>251782*(1.01^10)</f>
        <v>278123.96798028395</v>
      </c>
      <c r="J3577" t="s">
        <v>11222</v>
      </c>
      <c r="K3577">
        <f t="shared" si="55"/>
        <v>374.8062562137319</v>
      </c>
    </row>
    <row r="3578" spans="1:11" x14ac:dyDescent="0.2">
      <c r="A3578" t="s">
        <v>61</v>
      </c>
      <c r="B3578" t="s">
        <v>11207</v>
      </c>
      <c r="C3578" t="s">
        <v>11223</v>
      </c>
      <c r="D3578" t="s">
        <v>11224</v>
      </c>
      <c r="E3578" t="s">
        <v>589</v>
      </c>
      <c r="F3578" t="s">
        <v>92</v>
      </c>
      <c r="G3578" t="s">
        <v>24</v>
      </c>
      <c r="H3578">
        <f>26938*(1.01^10)</f>
        <v>29756.310814327033</v>
      </c>
      <c r="I3578">
        <f>133807*(1.01^10)</f>
        <v>147806.17273489706</v>
      </c>
      <c r="J3578" t="s">
        <v>11225</v>
      </c>
      <c r="K3578">
        <f t="shared" si="55"/>
        <v>255.69318538934013</v>
      </c>
    </row>
    <row r="3579" spans="1:11" x14ac:dyDescent="0.2">
      <c r="A3579" t="s">
        <v>61</v>
      </c>
      <c r="B3579" t="s">
        <v>11207</v>
      </c>
      <c r="C3579" t="s">
        <v>11226</v>
      </c>
      <c r="D3579" t="s">
        <v>11227</v>
      </c>
      <c r="E3579" t="s">
        <v>28</v>
      </c>
      <c r="F3579" t="s">
        <v>11</v>
      </c>
      <c r="G3579" t="s">
        <v>24</v>
      </c>
      <c r="H3579">
        <f>23019*(1.01^10)</f>
        <v>25427.296704840523</v>
      </c>
      <c r="I3579">
        <f>115216*(1.01^10)</f>
        <v>127270.14280137737</v>
      </c>
      <c r="J3579" t="s">
        <v>11228</v>
      </c>
      <c r="K3579">
        <f t="shared" si="55"/>
        <v>260.80054066316745</v>
      </c>
    </row>
    <row r="3580" spans="1:11" x14ac:dyDescent="0.2">
      <c r="A3580" t="s">
        <v>61</v>
      </c>
      <c r="B3580" t="s">
        <v>11207</v>
      </c>
      <c r="C3580" t="s">
        <v>11229</v>
      </c>
      <c r="D3580" t="s">
        <v>11230</v>
      </c>
      <c r="E3580" t="s">
        <v>386</v>
      </c>
      <c r="F3580" t="s">
        <v>6</v>
      </c>
      <c r="G3580" t="s">
        <v>11</v>
      </c>
      <c r="H3580">
        <f>45900*(1.01^10)</f>
        <v>50702.155556374295</v>
      </c>
      <c r="I3580">
        <f>239244*(1.01^10)</f>
        <v>264274.21577187825</v>
      </c>
      <c r="J3580" t="s">
        <v>11231</v>
      </c>
      <c r="K3580">
        <f t="shared" si="55"/>
        <v>315.94492655185923</v>
      </c>
    </row>
    <row r="3581" spans="1:11" x14ac:dyDescent="0.2">
      <c r="A3581" t="s">
        <v>61</v>
      </c>
      <c r="B3581" t="s">
        <v>11207</v>
      </c>
      <c r="C3581" t="s">
        <v>11232</v>
      </c>
      <c r="D3581" t="s">
        <v>11233</v>
      </c>
      <c r="E3581" t="s">
        <v>560</v>
      </c>
      <c r="F3581" t="s">
        <v>11</v>
      </c>
      <c r="G3581" t="s">
        <v>12</v>
      </c>
      <c r="H3581">
        <f>38267*(1.01^10)</f>
        <v>42270.57487311057</v>
      </c>
      <c r="I3581">
        <f>201354*(1.01^10)</f>
        <v>222420.08344004772</v>
      </c>
      <c r="J3581" t="s">
        <v>11234</v>
      </c>
      <c r="K3581">
        <f t="shared" si="55"/>
        <v>272.20858094798541</v>
      </c>
    </row>
    <row r="3582" spans="1:11" x14ac:dyDescent="0.2">
      <c r="A3582" t="s">
        <v>61</v>
      </c>
      <c r="B3582" t="s">
        <v>1637</v>
      </c>
      <c r="C3582" t="s">
        <v>11235</v>
      </c>
      <c r="D3582" t="s">
        <v>11236</v>
      </c>
      <c r="E3582" t="s">
        <v>1944</v>
      </c>
      <c r="F3582" t="s">
        <v>11</v>
      </c>
      <c r="G3582" t="s">
        <v>12</v>
      </c>
      <c r="H3582">
        <f>26480*(1.01^10)</f>
        <v>29250.393880888703</v>
      </c>
      <c r="I3582">
        <f>133783*(1.01^10)</f>
        <v>147779.6618038872</v>
      </c>
      <c r="J3582" t="s">
        <v>11237</v>
      </c>
      <c r="K3582">
        <f t="shared" si="55"/>
        <v>231.14444706841726</v>
      </c>
    </row>
    <row r="3583" spans="1:11" x14ac:dyDescent="0.2">
      <c r="A3583" t="s">
        <v>61</v>
      </c>
      <c r="B3583" t="s">
        <v>1637</v>
      </c>
      <c r="C3583" t="s">
        <v>11238</v>
      </c>
      <c r="D3583" t="s">
        <v>11239</v>
      </c>
      <c r="E3583" t="s">
        <v>555</v>
      </c>
      <c r="F3583" t="s">
        <v>11</v>
      </c>
      <c r="G3583" t="s">
        <v>11</v>
      </c>
      <c r="H3583">
        <f>32720*(1.01^10)</f>
        <v>36143.235943454616</v>
      </c>
      <c r="I3583">
        <f>172308*(1.01^10)</f>
        <v>190335.22918535388</v>
      </c>
      <c r="J3583" t="s">
        <v>11240</v>
      </c>
      <c r="K3583">
        <f t="shared" si="55"/>
        <v>294.71260387605946</v>
      </c>
    </row>
    <row r="3584" spans="1:11" x14ac:dyDescent="0.2">
      <c r="A3584" t="s">
        <v>61</v>
      </c>
      <c r="B3584" t="s">
        <v>1637</v>
      </c>
      <c r="C3584" t="s">
        <v>11241</v>
      </c>
      <c r="D3584" t="s">
        <v>11242</v>
      </c>
      <c r="E3584" t="s">
        <v>667</v>
      </c>
      <c r="F3584" t="s">
        <v>11</v>
      </c>
      <c r="G3584" t="s">
        <v>12</v>
      </c>
      <c r="H3584">
        <f>99062*(1.01^10)</f>
        <v>109426.07698748476</v>
      </c>
      <c r="I3584">
        <f>505948*(1.01^10)</f>
        <v>558881.35510754818</v>
      </c>
      <c r="J3584" t="s">
        <v>11243</v>
      </c>
      <c r="K3584">
        <f t="shared" si="55"/>
        <v>558.31544829934364</v>
      </c>
    </row>
    <row r="3585" spans="1:11" x14ac:dyDescent="0.2">
      <c r="A3585" t="s">
        <v>61</v>
      </c>
      <c r="B3585" t="s">
        <v>1637</v>
      </c>
      <c r="C3585" t="s">
        <v>11244</v>
      </c>
      <c r="D3585" t="s">
        <v>11245</v>
      </c>
      <c r="E3585" t="s">
        <v>67</v>
      </c>
      <c r="F3585" t="s">
        <v>12</v>
      </c>
      <c r="G3585" t="s">
        <v>12</v>
      </c>
      <c r="H3585">
        <f>22513*(1.01^10)</f>
        <v>24868.357909382452</v>
      </c>
      <c r="I3585">
        <f>112387*(1.01^10)</f>
        <v>124145.16680858907</v>
      </c>
      <c r="J3585" t="s">
        <v>11246</v>
      </c>
      <c r="K3585">
        <f t="shared" si="55"/>
        <v>177.24094776972646</v>
      </c>
    </row>
    <row r="3586" spans="1:11" x14ac:dyDescent="0.2">
      <c r="A3586" t="s">
        <v>61</v>
      </c>
      <c r="B3586" t="s">
        <v>1637</v>
      </c>
      <c r="C3586" t="s">
        <v>11247</v>
      </c>
      <c r="D3586" t="s">
        <v>11248</v>
      </c>
      <c r="E3586" t="s">
        <v>611</v>
      </c>
      <c r="F3586" t="s">
        <v>108</v>
      </c>
      <c r="G3586" t="s">
        <v>11</v>
      </c>
      <c r="H3586">
        <f>30349*(1.01^10)</f>
        <v>33524.176884104651</v>
      </c>
      <c r="I3586">
        <f>146089*(1.01^10)</f>
        <v>161373.14167919749</v>
      </c>
      <c r="J3586" t="s">
        <v>11249</v>
      </c>
      <c r="K3586">
        <f t="shared" si="55"/>
        <v>164.84142375906356</v>
      </c>
    </row>
    <row r="3587" spans="1:11" x14ac:dyDescent="0.2">
      <c r="A3587" t="s">
        <v>61</v>
      </c>
      <c r="B3587" t="s">
        <v>1637</v>
      </c>
      <c r="C3587" t="s">
        <v>11250</v>
      </c>
      <c r="D3587" t="s">
        <v>11251</v>
      </c>
      <c r="E3587" t="s">
        <v>418</v>
      </c>
      <c r="F3587" t="s">
        <v>97</v>
      </c>
      <c r="G3587" t="s">
        <v>17</v>
      </c>
      <c r="H3587">
        <f>37755*(1.01^10)</f>
        <v>41705.008344900038</v>
      </c>
      <c r="I3587">
        <f>195153*(1.01^10)</f>
        <v>215570.32164037283</v>
      </c>
      <c r="J3587" t="s">
        <v>11252</v>
      </c>
      <c r="K3587">
        <f t="shared" ref="K3587:K3650" si="56">I3587/J3587</f>
        <v>136.57014651758681</v>
      </c>
    </row>
    <row r="3588" spans="1:11" x14ac:dyDescent="0.2">
      <c r="A3588" t="s">
        <v>61</v>
      </c>
      <c r="B3588" t="s">
        <v>1637</v>
      </c>
      <c r="C3588" t="s">
        <v>11253</v>
      </c>
      <c r="D3588" t="s">
        <v>11254</v>
      </c>
      <c r="E3588" t="s">
        <v>172</v>
      </c>
      <c r="F3588" t="s">
        <v>11</v>
      </c>
      <c r="G3588" t="s">
        <v>12</v>
      </c>
      <c r="H3588">
        <f>22024*(1.01^10)</f>
        <v>24328.197690056375</v>
      </c>
      <c r="I3588">
        <f>106612*(1.01^10)</f>
        <v>117765.97403433936</v>
      </c>
      <c r="J3588" t="s">
        <v>11255</v>
      </c>
      <c r="K3588">
        <f t="shared" si="56"/>
        <v>325.07986424331114</v>
      </c>
    </row>
    <row r="3589" spans="1:11" x14ac:dyDescent="0.2">
      <c r="A3589" t="s">
        <v>61</v>
      </c>
      <c r="B3589" t="s">
        <v>1637</v>
      </c>
      <c r="C3589" t="s">
        <v>11256</v>
      </c>
      <c r="D3589" t="s">
        <v>11257</v>
      </c>
      <c r="E3589" t="s">
        <v>3215</v>
      </c>
      <c r="F3589" t="s">
        <v>24</v>
      </c>
      <c r="G3589" t="s">
        <v>12</v>
      </c>
      <c r="H3589">
        <f>37968*(1.01^10)</f>
        <v>41940.292857612621</v>
      </c>
      <c r="I3589">
        <f>191435*(1.01^10)</f>
        <v>211463.33657809399</v>
      </c>
      <c r="J3589" t="s">
        <v>11258</v>
      </c>
      <c r="K3589">
        <f t="shared" si="56"/>
        <v>189.87515653638766</v>
      </c>
    </row>
    <row r="3590" spans="1:11" x14ac:dyDescent="0.2">
      <c r="A3590" t="s">
        <v>61</v>
      </c>
      <c r="B3590" t="s">
        <v>3635</v>
      </c>
      <c r="C3590" t="s">
        <v>11259</v>
      </c>
      <c r="D3590" t="s">
        <v>11260</v>
      </c>
      <c r="E3590" t="s">
        <v>2873</v>
      </c>
      <c r="F3590" t="s">
        <v>6</v>
      </c>
      <c r="G3590" t="s">
        <v>12</v>
      </c>
      <c r="H3590">
        <f>45762*(1.01^10)</f>
        <v>50549.717703067552</v>
      </c>
      <c r="I3590">
        <f>226440*(1.01^10)</f>
        <v>250130.63407811322</v>
      </c>
      <c r="J3590" t="s">
        <v>11261</v>
      </c>
      <c r="K3590">
        <f t="shared" si="56"/>
        <v>238.54509213495038</v>
      </c>
    </row>
    <row r="3591" spans="1:11" x14ac:dyDescent="0.2">
      <c r="A3591" t="s">
        <v>61</v>
      </c>
      <c r="B3591" t="s">
        <v>3635</v>
      </c>
      <c r="C3591" t="s">
        <v>11262</v>
      </c>
      <c r="D3591" t="s">
        <v>11263</v>
      </c>
      <c r="E3591" t="s">
        <v>2553</v>
      </c>
      <c r="F3591" t="s">
        <v>92</v>
      </c>
      <c r="G3591" t="s">
        <v>17</v>
      </c>
      <c r="H3591">
        <f>58320*(1.01^10)</f>
        <v>64421.562353981462</v>
      </c>
      <c r="I3591">
        <f>296513*(1.01^10)</f>
        <v>327534.82027205254</v>
      </c>
      <c r="J3591" t="s">
        <v>11264</v>
      </c>
      <c r="K3591">
        <f t="shared" si="56"/>
        <v>254.30238540084397</v>
      </c>
    </row>
    <row r="3592" spans="1:11" x14ac:dyDescent="0.2">
      <c r="A3592" t="s">
        <v>61</v>
      </c>
      <c r="B3592" t="s">
        <v>3635</v>
      </c>
      <c r="C3592" t="s">
        <v>11265</v>
      </c>
      <c r="D3592" t="s">
        <v>11266</v>
      </c>
      <c r="E3592" t="s">
        <v>10877</v>
      </c>
      <c r="F3592" t="s">
        <v>61</v>
      </c>
      <c r="G3592" t="s">
        <v>5</v>
      </c>
      <c r="H3592">
        <f>116309*(1.01^10)</f>
        <v>128477.49478445182</v>
      </c>
      <c r="I3592">
        <f>578423*(1.01^10)</f>
        <v>638938.84364672529</v>
      </c>
      <c r="J3592" t="s">
        <v>11267</v>
      </c>
      <c r="K3592">
        <f t="shared" si="56"/>
        <v>336.99297795585807</v>
      </c>
    </row>
    <row r="3593" spans="1:11" x14ac:dyDescent="0.2">
      <c r="A3593" t="s">
        <v>61</v>
      </c>
      <c r="B3593" t="s">
        <v>3635</v>
      </c>
      <c r="C3593" t="s">
        <v>11268</v>
      </c>
      <c r="D3593" t="s">
        <v>11269</v>
      </c>
      <c r="E3593" t="s">
        <v>1352</v>
      </c>
      <c r="F3593" t="s">
        <v>92</v>
      </c>
      <c r="G3593" t="s">
        <v>24</v>
      </c>
      <c r="H3593">
        <f>28280*(1.01^10)</f>
        <v>31238.713706628871</v>
      </c>
      <c r="I3593">
        <f>156046*(1.01^10)</f>
        <v>172371.86418191687</v>
      </c>
      <c r="J3593" t="s">
        <v>11270</v>
      </c>
      <c r="K3593">
        <f t="shared" si="56"/>
        <v>234.86918206908911</v>
      </c>
    </row>
    <row r="3594" spans="1:11" x14ac:dyDescent="0.2">
      <c r="A3594" t="s">
        <v>61</v>
      </c>
      <c r="B3594" t="s">
        <v>3635</v>
      </c>
      <c r="C3594" t="s">
        <v>11271</v>
      </c>
      <c r="D3594" t="s">
        <v>11272</v>
      </c>
      <c r="E3594" t="s">
        <v>352</v>
      </c>
      <c r="F3594" t="s">
        <v>6</v>
      </c>
      <c r="G3594" t="s">
        <v>17</v>
      </c>
      <c r="H3594">
        <f>58355*(1.01^10)</f>
        <v>64460.22412837085</v>
      </c>
      <c r="I3594">
        <f>322282*(1.01^10)</f>
        <v>355999.82782177388</v>
      </c>
      <c r="J3594" t="s">
        <v>11273</v>
      </c>
      <c r="K3594">
        <f t="shared" si="56"/>
        <v>284.52007576528922</v>
      </c>
    </row>
    <row r="3595" spans="1:11" x14ac:dyDescent="0.2">
      <c r="A3595" t="s">
        <v>61</v>
      </c>
      <c r="B3595" t="s">
        <v>3635</v>
      </c>
      <c r="C3595" t="s">
        <v>11274</v>
      </c>
      <c r="D3595" t="s">
        <v>11275</v>
      </c>
      <c r="E3595" t="s">
        <v>264</v>
      </c>
      <c r="F3595" t="s">
        <v>24</v>
      </c>
      <c r="G3595" t="s">
        <v>12</v>
      </c>
      <c r="H3595">
        <f>21833*(1.01^10)</f>
        <v>24117.214864102833</v>
      </c>
      <c r="I3595">
        <f>114242*(1.01^10)</f>
        <v>126194.24085122686</v>
      </c>
      <c r="J3595" t="s">
        <v>11276</v>
      </c>
      <c r="K3595">
        <f t="shared" si="56"/>
        <v>281.29875592537979</v>
      </c>
    </row>
    <row r="3596" spans="1:11" x14ac:dyDescent="0.2">
      <c r="A3596" t="s">
        <v>61</v>
      </c>
      <c r="B3596" t="s">
        <v>3635</v>
      </c>
      <c r="C3596" t="s">
        <v>11277</v>
      </c>
      <c r="D3596" t="s">
        <v>11278</v>
      </c>
      <c r="E3596" t="s">
        <v>284</v>
      </c>
      <c r="F3596" t="s">
        <v>405</v>
      </c>
      <c r="G3596" t="s">
        <v>12</v>
      </c>
      <c r="H3596">
        <f>60616*(1.01^10)</f>
        <v>66957.77475392558</v>
      </c>
      <c r="I3596">
        <f>308188*(1.01^10)</f>
        <v>340431.28358622838</v>
      </c>
      <c r="J3596" t="s">
        <v>11279</v>
      </c>
      <c r="K3596">
        <f t="shared" si="56"/>
        <v>320.88948757406024</v>
      </c>
    </row>
    <row r="3597" spans="1:11" x14ac:dyDescent="0.2">
      <c r="A3597" t="s">
        <v>61</v>
      </c>
      <c r="B3597" t="s">
        <v>3635</v>
      </c>
      <c r="C3597" t="s">
        <v>11280</v>
      </c>
      <c r="D3597" t="s">
        <v>11281</v>
      </c>
      <c r="E3597" t="s">
        <v>368</v>
      </c>
      <c r="F3597" t="s">
        <v>12</v>
      </c>
      <c r="G3597" t="s">
        <v>17</v>
      </c>
      <c r="H3597">
        <f>36439*(1.01^10)</f>
        <v>40251.325627858889</v>
      </c>
      <c r="I3597">
        <f>183659*(1.01^10)</f>
        <v>202873.79493089646</v>
      </c>
      <c r="J3597" t="s">
        <v>11282</v>
      </c>
      <c r="K3597">
        <f t="shared" si="56"/>
        <v>476.41905260181466</v>
      </c>
    </row>
    <row r="3598" spans="1:11" x14ac:dyDescent="0.2">
      <c r="A3598" t="s">
        <v>61</v>
      </c>
      <c r="B3598" t="s">
        <v>586</v>
      </c>
      <c r="C3598" t="s">
        <v>11283</v>
      </c>
      <c r="D3598" t="s">
        <v>11284</v>
      </c>
      <c r="E3598" t="s">
        <v>568</v>
      </c>
      <c r="F3598" t="s">
        <v>12</v>
      </c>
      <c r="G3598" t="s">
        <v>11</v>
      </c>
      <c r="H3598">
        <f>42763*(1.01^10)</f>
        <v>47236.955948959352</v>
      </c>
      <c r="I3598">
        <f>228101*(1.01^10)</f>
        <v>251965.41142842121</v>
      </c>
      <c r="J3598" t="s">
        <v>11285</v>
      </c>
      <c r="K3598">
        <f t="shared" si="56"/>
        <v>316.30075000152073</v>
      </c>
    </row>
    <row r="3599" spans="1:11" x14ac:dyDescent="0.2">
      <c r="A3599" t="s">
        <v>61</v>
      </c>
      <c r="B3599" t="s">
        <v>586</v>
      </c>
      <c r="C3599" t="s">
        <v>11286</v>
      </c>
      <c r="D3599" t="s">
        <v>11287</v>
      </c>
      <c r="E3599" t="s">
        <v>612</v>
      </c>
      <c r="F3599" t="s">
        <v>24</v>
      </c>
      <c r="G3599" t="s">
        <v>17</v>
      </c>
      <c r="H3599">
        <f>18911*(1.01^10)</f>
        <v>20889.509013651292</v>
      </c>
      <c r="I3599">
        <f>99313*(1.01^10)</f>
        <v>109703.33714096298</v>
      </c>
      <c r="J3599" t="s">
        <v>11288</v>
      </c>
      <c r="K3599">
        <f t="shared" si="56"/>
        <v>240.65253540631909</v>
      </c>
    </row>
    <row r="3600" spans="1:11" x14ac:dyDescent="0.2">
      <c r="A3600" t="s">
        <v>61</v>
      </c>
      <c r="B3600" t="s">
        <v>586</v>
      </c>
      <c r="C3600" t="s">
        <v>11289</v>
      </c>
      <c r="D3600" t="s">
        <v>11290</v>
      </c>
      <c r="E3600" t="s">
        <v>1010</v>
      </c>
      <c r="F3600" t="s">
        <v>24</v>
      </c>
      <c r="G3600" t="s">
        <v>17</v>
      </c>
      <c r="H3600">
        <f>36659*(1.01^10)</f>
        <v>40494.342495449353</v>
      </c>
      <c r="I3600">
        <f>197835*(1.01^10)</f>
        <v>218532.91818072568</v>
      </c>
      <c r="J3600" t="s">
        <v>11291</v>
      </c>
      <c r="K3600">
        <f t="shared" si="56"/>
        <v>331.99629678138962</v>
      </c>
    </row>
    <row r="3601" spans="1:11" x14ac:dyDescent="0.2">
      <c r="A3601" t="s">
        <v>61</v>
      </c>
      <c r="B3601" t="s">
        <v>586</v>
      </c>
      <c r="C3601" t="s">
        <v>11292</v>
      </c>
      <c r="D3601" t="s">
        <v>11293</v>
      </c>
      <c r="E3601" t="s">
        <v>4</v>
      </c>
      <c r="F3601" t="s">
        <v>152</v>
      </c>
      <c r="G3601" t="s">
        <v>382</v>
      </c>
      <c r="H3601">
        <f>482493*(1.01^10)</f>
        <v>532972.4431560284</v>
      </c>
      <c r="I3601">
        <f>2389511*(1.01^10)</f>
        <v>2639506.7195134531</v>
      </c>
      <c r="J3601" t="s">
        <v>11294</v>
      </c>
      <c r="K3601">
        <f t="shared" si="56"/>
        <v>2962.520591433276</v>
      </c>
    </row>
    <row r="3602" spans="1:11" x14ac:dyDescent="0.2">
      <c r="A3602" t="s">
        <v>61</v>
      </c>
      <c r="B3602" t="s">
        <v>586</v>
      </c>
      <c r="C3602" t="s">
        <v>11295</v>
      </c>
      <c r="D3602" t="s">
        <v>11296</v>
      </c>
      <c r="E3602" t="s">
        <v>310</v>
      </c>
      <c r="F3602" t="s">
        <v>158</v>
      </c>
      <c r="G3602" t="s">
        <v>92</v>
      </c>
      <c r="H3602">
        <f>68714*(1.01^10)</f>
        <v>75903.004725505525</v>
      </c>
      <c r="I3602">
        <f>361937*(1.01^10)</f>
        <v>399803.61820495519</v>
      </c>
      <c r="J3602" t="s">
        <v>11297</v>
      </c>
      <c r="K3602">
        <f t="shared" si="56"/>
        <v>364.67364423603254</v>
      </c>
    </row>
    <row r="3603" spans="1:11" x14ac:dyDescent="0.2">
      <c r="A3603" t="s">
        <v>61</v>
      </c>
      <c r="B3603" t="s">
        <v>3497</v>
      </c>
      <c r="C3603" t="s">
        <v>11298</v>
      </c>
      <c r="D3603" t="s">
        <v>11299</v>
      </c>
      <c r="E3603" t="s">
        <v>2484</v>
      </c>
      <c r="F3603" t="s">
        <v>537</v>
      </c>
      <c r="G3603" t="s">
        <v>11</v>
      </c>
      <c r="H3603">
        <f>72803*(1.01^10)</f>
        <v>80419.804596311937</v>
      </c>
      <c r="I3603">
        <f>357244*(1.01^10)</f>
        <v>394619.62657040043</v>
      </c>
      <c r="J3603" t="s">
        <v>11300</v>
      </c>
      <c r="K3603">
        <f t="shared" si="56"/>
        <v>265.10605214085592</v>
      </c>
    </row>
    <row r="3604" spans="1:11" x14ac:dyDescent="0.2">
      <c r="A3604" t="s">
        <v>61</v>
      </c>
      <c r="B3604" t="s">
        <v>3497</v>
      </c>
      <c r="C3604" t="s">
        <v>11301</v>
      </c>
      <c r="D3604" t="s">
        <v>11302</v>
      </c>
      <c r="E3604" t="s">
        <v>676</v>
      </c>
      <c r="F3604" t="s">
        <v>103</v>
      </c>
      <c r="G3604" t="s">
        <v>17</v>
      </c>
      <c r="H3604">
        <f>50355*(1.01^10)</f>
        <v>55623.247125081216</v>
      </c>
      <c r="I3604">
        <f>233032*(1.01^10)</f>
        <v>257412.30312882387</v>
      </c>
      <c r="J3604" t="s">
        <v>11303</v>
      </c>
      <c r="K3604">
        <f t="shared" si="56"/>
        <v>310.65663775885054</v>
      </c>
    </row>
    <row r="3605" spans="1:11" x14ac:dyDescent="0.2">
      <c r="A3605" t="s">
        <v>61</v>
      </c>
      <c r="B3605" t="s">
        <v>3497</v>
      </c>
      <c r="C3605" t="s">
        <v>11304</v>
      </c>
      <c r="D3605" t="s">
        <v>11305</v>
      </c>
      <c r="E3605" t="s">
        <v>631</v>
      </c>
      <c r="F3605" t="s">
        <v>180</v>
      </c>
      <c r="G3605" t="s">
        <v>12</v>
      </c>
      <c r="H3605">
        <f>49269*(1.01^10)</f>
        <v>54423.627496884648</v>
      </c>
      <c r="I3605">
        <f>242709*(1.01^10)</f>
        <v>268101.73143642809</v>
      </c>
      <c r="J3605" t="s">
        <v>11306</v>
      </c>
      <c r="K3605">
        <f t="shared" si="56"/>
        <v>265.55732139558967</v>
      </c>
    </row>
    <row r="3606" spans="1:11" x14ac:dyDescent="0.2">
      <c r="A3606" t="s">
        <v>61</v>
      </c>
      <c r="B3606" t="s">
        <v>3497</v>
      </c>
      <c r="C3606" t="s">
        <v>11307</v>
      </c>
      <c r="D3606" t="s">
        <v>11308</v>
      </c>
      <c r="E3606" t="s">
        <v>619</v>
      </c>
      <c r="F3606" t="s">
        <v>24</v>
      </c>
      <c r="G3606" t="s">
        <v>24</v>
      </c>
      <c r="H3606">
        <f>16289*(1.01^10)</f>
        <v>17993.189800823115</v>
      </c>
      <c r="I3606">
        <f>83487*(1.01^10)</f>
        <v>92221.587384205253</v>
      </c>
      <c r="J3606" t="s">
        <v>11309</v>
      </c>
      <c r="K3606">
        <f t="shared" si="56"/>
        <v>255.27576442286633</v>
      </c>
    </row>
    <row r="3607" spans="1:11" x14ac:dyDescent="0.2">
      <c r="A3607" t="s">
        <v>61</v>
      </c>
      <c r="B3607" t="s">
        <v>3497</v>
      </c>
      <c r="C3607" t="s">
        <v>11310</v>
      </c>
      <c r="D3607" t="s">
        <v>11311</v>
      </c>
      <c r="E3607" t="s">
        <v>386</v>
      </c>
      <c r="F3607" t="s">
        <v>318</v>
      </c>
      <c r="G3607" t="s">
        <v>12</v>
      </c>
      <c r="H3607">
        <f>36527*(1.01^10)</f>
        <v>40348.532374895076</v>
      </c>
      <c r="I3607">
        <f>191780*(1.01^10)</f>
        <v>211844.43121136085</v>
      </c>
      <c r="J3607" t="s">
        <v>11312</v>
      </c>
      <c r="K3607">
        <f t="shared" si="56"/>
        <v>224.43836501722561</v>
      </c>
    </row>
    <row r="3608" spans="1:11" x14ac:dyDescent="0.2">
      <c r="A3608" t="s">
        <v>61</v>
      </c>
      <c r="B3608" t="s">
        <v>3497</v>
      </c>
      <c r="C3608" t="s">
        <v>11313</v>
      </c>
      <c r="D3608" t="s">
        <v>11314</v>
      </c>
      <c r="E3608" t="s">
        <v>1060</v>
      </c>
      <c r="F3608" t="s">
        <v>356</v>
      </c>
      <c r="G3608" t="s">
        <v>11</v>
      </c>
      <c r="H3608">
        <f>49387*(1.01^10)</f>
        <v>54553.972907683172</v>
      </c>
      <c r="I3608">
        <f>246530*(1.01^10)</f>
        <v>272322.49257762433</v>
      </c>
      <c r="J3608" t="s">
        <v>11315</v>
      </c>
      <c r="K3608">
        <f t="shared" si="56"/>
        <v>590.07660853739071</v>
      </c>
    </row>
    <row r="3609" spans="1:11" x14ac:dyDescent="0.2">
      <c r="A3609" t="s">
        <v>61</v>
      </c>
      <c r="B3609" t="s">
        <v>3497</v>
      </c>
      <c r="C3609" t="s">
        <v>11316</v>
      </c>
      <c r="D3609" t="s">
        <v>11317</v>
      </c>
      <c r="E3609" t="s">
        <v>1054</v>
      </c>
      <c r="F3609" t="s">
        <v>220</v>
      </c>
      <c r="G3609" t="s">
        <v>12</v>
      </c>
      <c r="H3609">
        <f>25388*(1.01^10)</f>
        <v>28044.146519939666</v>
      </c>
      <c r="I3609">
        <f>123512*(1.01^10)</f>
        <v>136434.08795378872</v>
      </c>
      <c r="J3609" t="s">
        <v>11318</v>
      </c>
      <c r="K3609">
        <f t="shared" si="56"/>
        <v>253.67501220571197</v>
      </c>
    </row>
    <row r="3610" spans="1:11" x14ac:dyDescent="0.2">
      <c r="A3610" t="s">
        <v>61</v>
      </c>
      <c r="B3610" t="s">
        <v>3497</v>
      </c>
      <c r="C3610" t="s">
        <v>11319</v>
      </c>
      <c r="D3610" t="s">
        <v>11320</v>
      </c>
      <c r="E3610" t="s">
        <v>1617</v>
      </c>
      <c r="F3610" t="s">
        <v>152</v>
      </c>
      <c r="G3610" t="s">
        <v>24</v>
      </c>
      <c r="H3610">
        <f>32169*(1.01^10)</f>
        <v>35534.589152353044</v>
      </c>
      <c r="I3610">
        <f>192996*(1.01^10)</f>
        <v>213187.65171586088</v>
      </c>
      <c r="J3610" t="s">
        <v>11321</v>
      </c>
      <c r="K3610">
        <f t="shared" si="56"/>
        <v>170.88774101126782</v>
      </c>
    </row>
    <row r="3611" spans="1:11" x14ac:dyDescent="0.2">
      <c r="A3611" t="s">
        <v>61</v>
      </c>
      <c r="B3611" t="s">
        <v>3497</v>
      </c>
      <c r="C3611" t="s">
        <v>11322</v>
      </c>
      <c r="D3611" t="s">
        <v>11323</v>
      </c>
      <c r="E3611" t="s">
        <v>761</v>
      </c>
      <c r="F3611" t="s">
        <v>17</v>
      </c>
      <c r="G3611" t="s">
        <v>24</v>
      </c>
      <c r="H3611">
        <f>35801*(1.01^10)</f>
        <v>39546.576711846545</v>
      </c>
      <c r="I3611">
        <f>201756*(1.01^10)</f>
        <v>222864.14153446304</v>
      </c>
      <c r="J3611" t="s">
        <v>11324</v>
      </c>
      <c r="K3611">
        <f t="shared" si="56"/>
        <v>194.42537465114506</v>
      </c>
    </row>
    <row r="3612" spans="1:11" x14ac:dyDescent="0.2">
      <c r="A3612" t="s">
        <v>61</v>
      </c>
      <c r="B3612" t="s">
        <v>513</v>
      </c>
      <c r="C3612" t="s">
        <v>11325</v>
      </c>
      <c r="D3612" t="s">
        <v>11326</v>
      </c>
      <c r="E3612" t="s">
        <v>32</v>
      </c>
      <c r="F3612" t="s">
        <v>11</v>
      </c>
      <c r="G3612" t="s">
        <v>12</v>
      </c>
      <c r="H3612">
        <f>37545*(1.01^10)</f>
        <v>41473.037698563683</v>
      </c>
      <c r="I3612">
        <f>211061*(1.01^10)</f>
        <v>233142.65041141427</v>
      </c>
      <c r="J3612" t="s">
        <v>11327</v>
      </c>
      <c r="K3612">
        <f t="shared" si="56"/>
        <v>297.47301796711855</v>
      </c>
    </row>
    <row r="3613" spans="1:11" x14ac:dyDescent="0.2">
      <c r="A3613" t="s">
        <v>61</v>
      </c>
      <c r="B3613" t="s">
        <v>513</v>
      </c>
      <c r="C3613" t="s">
        <v>11328</v>
      </c>
      <c r="D3613" t="s">
        <v>1433</v>
      </c>
      <c r="E3613" t="s">
        <v>626</v>
      </c>
      <c r="F3613" t="s">
        <v>17</v>
      </c>
      <c r="G3613" t="s">
        <v>24</v>
      </c>
      <c r="H3613">
        <f>26792*(1.01^10)</f>
        <v>29595.035984016999</v>
      </c>
      <c r="I3613">
        <f>162432*(1.01^10)</f>
        <v>179425.9810747928</v>
      </c>
      <c r="J3613" t="s">
        <v>11329</v>
      </c>
      <c r="K3613">
        <f t="shared" si="56"/>
        <v>212.71342567769383</v>
      </c>
    </row>
    <row r="3614" spans="1:11" x14ac:dyDescent="0.2">
      <c r="A3614" t="s">
        <v>61</v>
      </c>
      <c r="B3614" t="s">
        <v>513</v>
      </c>
      <c r="C3614" t="s">
        <v>11330</v>
      </c>
      <c r="D3614" t="s">
        <v>11331</v>
      </c>
      <c r="E3614" t="s">
        <v>1580</v>
      </c>
      <c r="F3614" t="s">
        <v>17</v>
      </c>
      <c r="G3614" t="s">
        <v>12</v>
      </c>
      <c r="H3614">
        <f>16211*(1.01^10)</f>
        <v>17907.029275041041</v>
      </c>
      <c r="I3614">
        <f>79054*(1.01^10)</f>
        <v>87324.797502257381</v>
      </c>
      <c r="J3614" t="s">
        <v>11332</v>
      </c>
      <c r="K3614">
        <f t="shared" si="56"/>
        <v>276.11433061264199</v>
      </c>
    </row>
    <row r="3615" spans="1:11" x14ac:dyDescent="0.2">
      <c r="A3615" t="s">
        <v>61</v>
      </c>
      <c r="B3615" t="s">
        <v>513</v>
      </c>
      <c r="C3615" t="s">
        <v>11333</v>
      </c>
      <c r="D3615" t="s">
        <v>11334</v>
      </c>
      <c r="E3615" t="s">
        <v>333</v>
      </c>
      <c r="F3615" t="s">
        <v>24</v>
      </c>
      <c r="G3615" t="s">
        <v>12</v>
      </c>
      <c r="H3615">
        <f>18079*(1.01^10)</f>
        <v>19970.463405309172</v>
      </c>
      <c r="I3615">
        <f>89465*(1.01^10)</f>
        <v>98825.018449913434</v>
      </c>
      <c r="J3615" t="s">
        <v>11335</v>
      </c>
      <c r="K3615">
        <f t="shared" si="56"/>
        <v>383.008927612121</v>
      </c>
    </row>
    <row r="3616" spans="1:11" x14ac:dyDescent="0.2">
      <c r="A3616" t="s">
        <v>61</v>
      </c>
      <c r="B3616" t="s">
        <v>513</v>
      </c>
      <c r="C3616" t="s">
        <v>11336</v>
      </c>
      <c r="D3616" t="s">
        <v>5006</v>
      </c>
      <c r="E3616" t="s">
        <v>611</v>
      </c>
      <c r="F3616" t="s">
        <v>12</v>
      </c>
      <c r="G3616" t="s">
        <v>17</v>
      </c>
      <c r="H3616">
        <f>38635*(1.01^10)</f>
        <v>42677.075815261895</v>
      </c>
      <c r="I3616">
        <f>213216*(1.01^10)</f>
        <v>235523.11109167544</v>
      </c>
      <c r="J3616" t="s">
        <v>11337</v>
      </c>
      <c r="K3616">
        <f t="shared" si="56"/>
        <v>321.97106962142391</v>
      </c>
    </row>
    <row r="3617" spans="1:11" x14ac:dyDescent="0.2">
      <c r="A3617" t="s">
        <v>61</v>
      </c>
      <c r="B3617" t="s">
        <v>513</v>
      </c>
      <c r="C3617" t="s">
        <v>11338</v>
      </c>
      <c r="D3617" t="s">
        <v>11339</v>
      </c>
      <c r="E3617" t="s">
        <v>489</v>
      </c>
      <c r="F3617" t="s">
        <v>24</v>
      </c>
      <c r="G3617" t="s">
        <v>17</v>
      </c>
      <c r="H3617">
        <f>29107*(1.01^10)</f>
        <v>32152.236204343935</v>
      </c>
      <c r="I3617">
        <f>157975*(1.01^10)</f>
        <v>174502.68026183508</v>
      </c>
      <c r="J3617" t="s">
        <v>11340</v>
      </c>
      <c r="K3617">
        <f t="shared" si="56"/>
        <v>257.97600252907608</v>
      </c>
    </row>
    <row r="3618" spans="1:11" x14ac:dyDescent="0.2">
      <c r="A3618" t="s">
        <v>61</v>
      </c>
      <c r="B3618" t="s">
        <v>513</v>
      </c>
      <c r="C3618" t="s">
        <v>11341</v>
      </c>
      <c r="D3618" t="s">
        <v>11342</v>
      </c>
      <c r="E3618" t="s">
        <v>121</v>
      </c>
      <c r="F3618" t="s">
        <v>108</v>
      </c>
      <c r="G3618" t="s">
        <v>24</v>
      </c>
      <c r="H3618">
        <f>18942*(1.01^10)</f>
        <v>20923.752299539039</v>
      </c>
      <c r="I3618">
        <f>112639*(1.01^10)</f>
        <v>124423.53158419269</v>
      </c>
      <c r="J3618" t="s">
        <v>11343</v>
      </c>
      <c r="K3618">
        <f t="shared" si="56"/>
        <v>360.85498196805577</v>
      </c>
    </row>
    <row r="3619" spans="1:11" x14ac:dyDescent="0.2">
      <c r="A3619" t="s">
        <v>61</v>
      </c>
      <c r="B3619" t="s">
        <v>513</v>
      </c>
      <c r="C3619" t="s">
        <v>11344</v>
      </c>
      <c r="D3619" t="s">
        <v>11345</v>
      </c>
      <c r="E3619" t="s">
        <v>168</v>
      </c>
      <c r="F3619" t="s">
        <v>12</v>
      </c>
      <c r="G3619" t="s">
        <v>12</v>
      </c>
      <c r="H3619">
        <f>37027*(1.01^10)</f>
        <v>40900.843437600677</v>
      </c>
      <c r="I3619">
        <f>231318*(1.01^10)</f>
        <v>255518.98080586907</v>
      </c>
      <c r="J3619" t="s">
        <v>11346</v>
      </c>
      <c r="K3619">
        <f t="shared" si="56"/>
        <v>403.08583903649941</v>
      </c>
    </row>
    <row r="3620" spans="1:11" x14ac:dyDescent="0.2">
      <c r="A3620" t="s">
        <v>61</v>
      </c>
      <c r="B3620" t="s">
        <v>513</v>
      </c>
      <c r="C3620" t="s">
        <v>11347</v>
      </c>
      <c r="D3620" t="s">
        <v>11348</v>
      </c>
      <c r="E3620" t="s">
        <v>333</v>
      </c>
      <c r="F3620" t="s">
        <v>24</v>
      </c>
      <c r="G3620" t="s">
        <v>24</v>
      </c>
      <c r="H3620">
        <f>20939*(1.01^10)</f>
        <v>23129.682683985215</v>
      </c>
      <c r="I3620">
        <f>128721*(1.01^10)</f>
        <v>142188.0646050557</v>
      </c>
      <c r="J3620" t="s">
        <v>11349</v>
      </c>
      <c r="K3620">
        <f t="shared" si="56"/>
        <v>169.51004691230452</v>
      </c>
    </row>
    <row r="3621" spans="1:11" x14ac:dyDescent="0.2">
      <c r="A3621" t="s">
        <v>61</v>
      </c>
      <c r="B3621" t="s">
        <v>3269</v>
      </c>
      <c r="C3621" t="s">
        <v>11350</v>
      </c>
      <c r="D3621" t="s">
        <v>11351</v>
      </c>
      <c r="E3621" t="s">
        <v>1974</v>
      </c>
      <c r="F3621" t="s">
        <v>92</v>
      </c>
      <c r="G3621" t="s">
        <v>17</v>
      </c>
      <c r="H3621">
        <f>45336*(1.01^10)</f>
        <v>50079.148677642377</v>
      </c>
      <c r="I3621">
        <f>199675*(1.01^10)</f>
        <v>220565.4228914823</v>
      </c>
      <c r="J3621" t="s">
        <v>11352</v>
      </c>
      <c r="K3621">
        <f t="shared" si="56"/>
        <v>259.35562262629526</v>
      </c>
    </row>
    <row r="3622" spans="1:11" x14ac:dyDescent="0.2">
      <c r="A3622" t="s">
        <v>61</v>
      </c>
      <c r="B3622" t="s">
        <v>3269</v>
      </c>
      <c r="C3622" t="s">
        <v>11353</v>
      </c>
      <c r="D3622" t="s">
        <v>11354</v>
      </c>
      <c r="E3622" t="s">
        <v>6973</v>
      </c>
      <c r="F3622" t="s">
        <v>445</v>
      </c>
      <c r="G3622" t="s">
        <v>17</v>
      </c>
      <c r="H3622">
        <f>45433*(1.01^10)</f>
        <v>50186.297023807267</v>
      </c>
      <c r="I3622">
        <f>191065*(1.01^10)</f>
        <v>211054.62639169183</v>
      </c>
      <c r="J3622" t="s">
        <v>11355</v>
      </c>
      <c r="K3622">
        <f t="shared" si="56"/>
        <v>267.32633186920236</v>
      </c>
    </row>
    <row r="3623" spans="1:11" x14ac:dyDescent="0.2">
      <c r="A3623" t="s">
        <v>61</v>
      </c>
      <c r="B3623" t="s">
        <v>3269</v>
      </c>
      <c r="C3623" t="s">
        <v>11356</v>
      </c>
      <c r="D3623" t="s">
        <v>758</v>
      </c>
      <c r="E3623" t="s">
        <v>9192</v>
      </c>
      <c r="F3623" t="s">
        <v>458</v>
      </c>
      <c r="G3623" t="s">
        <v>17</v>
      </c>
      <c r="H3623">
        <f>51893*(1.01^10)</f>
        <v>57322.155953963651</v>
      </c>
      <c r="I3623">
        <f>239787*(1.01^10)</f>
        <v>264874.02558597655</v>
      </c>
      <c r="J3623" t="s">
        <v>11357</v>
      </c>
      <c r="K3623">
        <f t="shared" si="56"/>
        <v>236.17780308727944</v>
      </c>
    </row>
    <row r="3624" spans="1:11" x14ac:dyDescent="0.2">
      <c r="A3624" t="s">
        <v>61</v>
      </c>
      <c r="B3624" t="s">
        <v>3269</v>
      </c>
      <c r="C3624" t="s">
        <v>11358</v>
      </c>
      <c r="D3624" t="s">
        <v>11359</v>
      </c>
      <c r="E3624" t="s">
        <v>455</v>
      </c>
      <c r="F3624" t="s">
        <v>405</v>
      </c>
      <c r="G3624" t="s">
        <v>17</v>
      </c>
      <c r="H3624">
        <f>61474*(1.01^10)</f>
        <v>67905.540537528403</v>
      </c>
      <c r="I3624">
        <f>280576*(1.01^10)</f>
        <v>309930.45745937416</v>
      </c>
      <c r="J3624" t="s">
        <v>11360</v>
      </c>
      <c r="K3624">
        <f t="shared" si="56"/>
        <v>269.81790168274614</v>
      </c>
    </row>
    <row r="3625" spans="1:11" x14ac:dyDescent="0.2">
      <c r="A3625" t="s">
        <v>61</v>
      </c>
      <c r="B3625" t="s">
        <v>3269</v>
      </c>
      <c r="C3625" t="s">
        <v>11361</v>
      </c>
      <c r="D3625" t="s">
        <v>11362</v>
      </c>
      <c r="E3625" t="s">
        <v>1049</v>
      </c>
      <c r="F3625" t="s">
        <v>11</v>
      </c>
      <c r="G3625" t="s">
        <v>12</v>
      </c>
      <c r="H3625">
        <f>41399*(1.01^10)</f>
        <v>45730.251369898462</v>
      </c>
      <c r="I3625">
        <f>186082*(1.01^10)</f>
        <v>205550.29434076781</v>
      </c>
      <c r="J3625" t="s">
        <v>11363</v>
      </c>
      <c r="K3625">
        <f t="shared" si="56"/>
        <v>228.88545826028715</v>
      </c>
    </row>
    <row r="3626" spans="1:11" x14ac:dyDescent="0.2">
      <c r="A3626" t="s">
        <v>61</v>
      </c>
      <c r="B3626" t="s">
        <v>3269</v>
      </c>
      <c r="C3626" t="s">
        <v>11364</v>
      </c>
      <c r="D3626" t="s">
        <v>11365</v>
      </c>
      <c r="E3626" t="s">
        <v>1122</v>
      </c>
      <c r="F3626" t="s">
        <v>12</v>
      </c>
      <c r="G3626" t="s">
        <v>17</v>
      </c>
      <c r="H3626">
        <f>62114*(1.01^10)</f>
        <v>68612.498697791569</v>
      </c>
      <c r="I3626">
        <f>278166*(1.01^10)</f>
        <v>307268.3181371332</v>
      </c>
      <c r="J3626" t="s">
        <v>11366</v>
      </c>
      <c r="K3626">
        <f t="shared" si="56"/>
        <v>407.4181676667796</v>
      </c>
    </row>
    <row r="3627" spans="1:11" x14ac:dyDescent="0.2">
      <c r="A3627" t="s">
        <v>61</v>
      </c>
      <c r="B3627" t="s">
        <v>3269</v>
      </c>
      <c r="C3627" t="s">
        <v>11367</v>
      </c>
      <c r="D3627" t="s">
        <v>11368</v>
      </c>
      <c r="E3627" t="s">
        <v>4</v>
      </c>
      <c r="F3627" t="s">
        <v>12</v>
      </c>
      <c r="G3627" t="s">
        <v>17</v>
      </c>
      <c r="H3627">
        <f>37648*(1.01^10)</f>
        <v>41586.813777481038</v>
      </c>
      <c r="I3627">
        <f>170463*(1.01^10)</f>
        <v>188297.20136397021</v>
      </c>
      <c r="J3627" t="s">
        <v>11369</v>
      </c>
      <c r="K3627">
        <f t="shared" si="56"/>
        <v>318.78652689785588</v>
      </c>
    </row>
    <row r="3628" spans="1:11" x14ac:dyDescent="0.2">
      <c r="A3628" t="s">
        <v>61</v>
      </c>
      <c r="B3628" t="s">
        <v>3044</v>
      </c>
      <c r="C3628" t="s">
        <v>11370</v>
      </c>
      <c r="D3628" t="s">
        <v>11371</v>
      </c>
      <c r="E3628" t="s">
        <v>971</v>
      </c>
      <c r="F3628" t="s">
        <v>108</v>
      </c>
      <c r="G3628" t="s">
        <v>12</v>
      </c>
      <c r="H3628">
        <f>31048*(1.01^10)</f>
        <v>34296.307749767082</v>
      </c>
      <c r="I3628">
        <f>143637*(1.01^10)</f>
        <v>158664.60822768923</v>
      </c>
      <c r="J3628" t="s">
        <v>11372</v>
      </c>
      <c r="K3628">
        <f t="shared" si="56"/>
        <v>159.94724910105526</v>
      </c>
    </row>
    <row r="3629" spans="1:11" x14ac:dyDescent="0.2">
      <c r="A3629" t="s">
        <v>61</v>
      </c>
      <c r="B3629" t="s">
        <v>3044</v>
      </c>
      <c r="C3629" t="s">
        <v>11373</v>
      </c>
      <c r="D3629" t="s">
        <v>11374</v>
      </c>
      <c r="E3629" t="s">
        <v>966</v>
      </c>
      <c r="F3629" t="s">
        <v>318</v>
      </c>
      <c r="G3629" t="s">
        <v>12</v>
      </c>
      <c r="H3629">
        <f>44733*(1.01^10)</f>
        <v>49413.061536019421</v>
      </c>
      <c r="I3629">
        <f>234580*(1.01^10)</f>
        <v>259122.25817896042</v>
      </c>
      <c r="J3629" t="s">
        <v>11375</v>
      </c>
      <c r="K3629">
        <f t="shared" si="56"/>
        <v>202.52827793712621</v>
      </c>
    </row>
    <row r="3630" spans="1:11" x14ac:dyDescent="0.2">
      <c r="A3630" t="s">
        <v>61</v>
      </c>
      <c r="B3630" t="s">
        <v>3044</v>
      </c>
      <c r="C3630" t="s">
        <v>11376</v>
      </c>
      <c r="D3630" t="s">
        <v>11377</v>
      </c>
      <c r="E3630" t="s">
        <v>144</v>
      </c>
      <c r="F3630" t="s">
        <v>422</v>
      </c>
      <c r="G3630" t="s">
        <v>12</v>
      </c>
      <c r="H3630">
        <f>33233*(1.01^10)</f>
        <v>36709.907093790571</v>
      </c>
      <c r="I3630">
        <f>158909*(1.01^10)</f>
        <v>175534.39732696913</v>
      </c>
      <c r="J3630" t="s">
        <v>11378</v>
      </c>
      <c r="K3630">
        <f t="shared" si="56"/>
        <v>209.2010425113898</v>
      </c>
    </row>
    <row r="3631" spans="1:11" x14ac:dyDescent="0.2">
      <c r="A3631" t="s">
        <v>61</v>
      </c>
      <c r="B3631" t="s">
        <v>3044</v>
      </c>
      <c r="C3631" t="s">
        <v>11379</v>
      </c>
      <c r="D3631" t="s">
        <v>11380</v>
      </c>
      <c r="E3631" t="s">
        <v>123</v>
      </c>
      <c r="F3631" t="s">
        <v>6</v>
      </c>
      <c r="G3631" t="s">
        <v>17</v>
      </c>
      <c r="H3631">
        <f>44142*(1.01^10)</f>
        <v>48760.229859901403</v>
      </c>
      <c r="I3631">
        <f>216109*(1.01^10)</f>
        <v>238718.78290049004</v>
      </c>
      <c r="J3631" t="s">
        <v>11381</v>
      </c>
      <c r="K3631">
        <f t="shared" si="56"/>
        <v>575.53286019061863</v>
      </c>
    </row>
    <row r="3632" spans="1:11" x14ac:dyDescent="0.2">
      <c r="A3632" t="s">
        <v>61</v>
      </c>
      <c r="B3632" t="s">
        <v>3044</v>
      </c>
      <c r="C3632" t="s">
        <v>11382</v>
      </c>
      <c r="D3632" t="s">
        <v>11383</v>
      </c>
      <c r="E3632" t="s">
        <v>1223</v>
      </c>
      <c r="F3632" t="s">
        <v>11</v>
      </c>
      <c r="G3632" t="s">
        <v>24</v>
      </c>
      <c r="H3632">
        <f>14446*(1.01^10)</f>
        <v>15957.371223690263</v>
      </c>
      <c r="I3632">
        <f>69136*(1.01^10)</f>
        <v>76369.155262429049</v>
      </c>
      <c r="J3632" t="s">
        <v>11384</v>
      </c>
      <c r="K3632">
        <f t="shared" si="56"/>
        <v>91.389209600405223</v>
      </c>
    </row>
    <row r="3633" spans="1:11" x14ac:dyDescent="0.2">
      <c r="A3633" t="s">
        <v>61</v>
      </c>
      <c r="B3633" t="s">
        <v>3044</v>
      </c>
      <c r="C3633" t="s">
        <v>11385</v>
      </c>
      <c r="D3633" t="s">
        <v>11386</v>
      </c>
      <c r="E3633" t="s">
        <v>253</v>
      </c>
      <c r="F3633" t="s">
        <v>12</v>
      </c>
      <c r="G3633" t="s">
        <v>24</v>
      </c>
      <c r="H3633">
        <f>17209*(1.01^10)</f>
        <v>19009.442156201421</v>
      </c>
      <c r="I3633">
        <f>82718*(1.01^10)</f>
        <v>91372.132969764032</v>
      </c>
      <c r="J3633" t="s">
        <v>11387</v>
      </c>
      <c r="K3633">
        <f t="shared" si="56"/>
        <v>182.18708746402129</v>
      </c>
    </row>
    <row r="3634" spans="1:11" x14ac:dyDescent="0.2">
      <c r="A3634" t="s">
        <v>61</v>
      </c>
      <c r="B3634" t="s">
        <v>3044</v>
      </c>
      <c r="C3634" t="s">
        <v>11388</v>
      </c>
      <c r="D3634" t="s">
        <v>11389</v>
      </c>
      <c r="E3634" t="s">
        <v>32</v>
      </c>
      <c r="F3634" t="s">
        <v>17</v>
      </c>
      <c r="G3634" t="s">
        <v>12</v>
      </c>
      <c r="H3634">
        <f>21448*(1.01^10)</f>
        <v>23691.935345819518</v>
      </c>
      <c r="I3634">
        <f>108498*(1.01^10)</f>
        <v>119849.2913628649</v>
      </c>
      <c r="J3634" t="s">
        <v>11390</v>
      </c>
      <c r="K3634">
        <f t="shared" si="56"/>
        <v>209.50579522294029</v>
      </c>
    </row>
    <row r="3635" spans="1:11" x14ac:dyDescent="0.2">
      <c r="A3635" t="s">
        <v>61</v>
      </c>
      <c r="B3635" t="s">
        <v>3044</v>
      </c>
      <c r="C3635" t="s">
        <v>11391</v>
      </c>
      <c r="D3635" t="s">
        <v>11392</v>
      </c>
      <c r="E3635" t="s">
        <v>839</v>
      </c>
      <c r="F3635" t="s">
        <v>108</v>
      </c>
      <c r="G3635" t="s">
        <v>24</v>
      </c>
      <c r="H3635">
        <f>15345*(1.01^10)</f>
        <v>16950.426514434937</v>
      </c>
      <c r="I3635">
        <f>69107*(1.01^10)</f>
        <v>76337.12122079212</v>
      </c>
      <c r="J3635" t="s">
        <v>11393</v>
      </c>
      <c r="K3635">
        <f t="shared" si="56"/>
        <v>192.92160683824983</v>
      </c>
    </row>
    <row r="3636" spans="1:11" x14ac:dyDescent="0.2">
      <c r="A3636" t="s">
        <v>61</v>
      </c>
      <c r="B3636" t="s">
        <v>3044</v>
      </c>
      <c r="C3636" t="s">
        <v>11394</v>
      </c>
      <c r="D3636" t="s">
        <v>11395</v>
      </c>
      <c r="E3636" t="s">
        <v>1589</v>
      </c>
      <c r="F3636" t="s">
        <v>12</v>
      </c>
      <c r="G3636" t="s">
        <v>24</v>
      </c>
      <c r="H3636">
        <f>11850*(1.01^10)</f>
        <v>13089.772186122776</v>
      </c>
      <c r="I3636">
        <f>54164*(1.01^10)</f>
        <v>59830.75280077249</v>
      </c>
      <c r="J3636" t="s">
        <v>11396</v>
      </c>
      <c r="K3636">
        <f t="shared" si="56"/>
        <v>127.33134742503185</v>
      </c>
    </row>
    <row r="3637" spans="1:11" x14ac:dyDescent="0.2">
      <c r="A3637" t="s">
        <v>61</v>
      </c>
      <c r="B3637" t="s">
        <v>3044</v>
      </c>
      <c r="C3637" t="s">
        <v>11397</v>
      </c>
      <c r="D3637" t="s">
        <v>11398</v>
      </c>
      <c r="E3637" t="s">
        <v>698</v>
      </c>
      <c r="F3637" t="s">
        <v>152</v>
      </c>
      <c r="G3637" t="s">
        <v>12</v>
      </c>
      <c r="H3637">
        <f>66222*(1.01^10)</f>
        <v>73150.286388980807</v>
      </c>
      <c r="I3637">
        <f>322017*(1.01^10)</f>
        <v>355707.10295853991</v>
      </c>
      <c r="J3637" t="s">
        <v>11399</v>
      </c>
      <c r="K3637">
        <f t="shared" si="56"/>
        <v>332.15116750596974</v>
      </c>
    </row>
    <row r="3638" spans="1:11" x14ac:dyDescent="0.2">
      <c r="A3638" t="s">
        <v>61</v>
      </c>
      <c r="B3638" t="s">
        <v>910</v>
      </c>
      <c r="C3638" t="s">
        <v>11400</v>
      </c>
      <c r="D3638" t="s">
        <v>11401</v>
      </c>
      <c r="E3638" t="s">
        <v>581</v>
      </c>
      <c r="F3638" t="s">
        <v>458</v>
      </c>
      <c r="G3638" t="s">
        <v>12</v>
      </c>
      <c r="H3638">
        <f>53675*(1.01^10)</f>
        <v>59290.592581446414</v>
      </c>
      <c r="I3638">
        <f>263538*(1.01^10)</f>
        <v>291109.90568661806</v>
      </c>
      <c r="J3638" t="s">
        <v>11402</v>
      </c>
      <c r="K3638">
        <f t="shared" si="56"/>
        <v>206.4271448654433</v>
      </c>
    </row>
    <row r="3639" spans="1:11" x14ac:dyDescent="0.2">
      <c r="A3639" t="s">
        <v>61</v>
      </c>
      <c r="B3639" t="s">
        <v>910</v>
      </c>
      <c r="C3639" t="s">
        <v>11403</v>
      </c>
      <c r="D3639" t="s">
        <v>11101</v>
      </c>
      <c r="E3639" t="s">
        <v>738</v>
      </c>
      <c r="F3639" t="s">
        <v>92</v>
      </c>
      <c r="G3639" t="s">
        <v>17</v>
      </c>
      <c r="H3639">
        <f>448130*(1.01^10)</f>
        <v>495014.31306052319</v>
      </c>
      <c r="I3639">
        <f>2107523*(1.01^10)</f>
        <v>2328016.5356129985</v>
      </c>
      <c r="J3639" t="s">
        <v>11404</v>
      </c>
      <c r="K3639">
        <f t="shared" si="56"/>
        <v>1709.5548190604841</v>
      </c>
    </row>
    <row r="3640" spans="1:11" x14ac:dyDescent="0.2">
      <c r="A3640" t="s">
        <v>61</v>
      </c>
      <c r="B3640" t="s">
        <v>641</v>
      </c>
      <c r="C3640" t="s">
        <v>11405</v>
      </c>
      <c r="D3640" t="s">
        <v>11406</v>
      </c>
      <c r="E3640" t="s">
        <v>2400</v>
      </c>
      <c r="F3640" t="s">
        <v>11</v>
      </c>
      <c r="G3640" t="s">
        <v>12</v>
      </c>
      <c r="H3640">
        <f>53098*(1.01^10)</f>
        <v>58653.225615084149</v>
      </c>
      <c r="I3640">
        <f>275078*(1.01^10)</f>
        <v>303857.24501386337</v>
      </c>
      <c r="J3640" t="s">
        <v>11407</v>
      </c>
      <c r="K3640">
        <f t="shared" si="56"/>
        <v>333.49804613351262</v>
      </c>
    </row>
    <row r="3641" spans="1:11" x14ac:dyDescent="0.2">
      <c r="A3641" t="s">
        <v>61</v>
      </c>
      <c r="B3641" t="s">
        <v>641</v>
      </c>
      <c r="C3641" t="s">
        <v>11408</v>
      </c>
      <c r="D3641" t="s">
        <v>11409</v>
      </c>
      <c r="E3641" t="s">
        <v>2162</v>
      </c>
      <c r="F3641" t="s">
        <v>11</v>
      </c>
      <c r="G3641" t="s">
        <v>24</v>
      </c>
      <c r="H3641">
        <f>30124*(1.01^10)</f>
        <v>33275.636905887135</v>
      </c>
      <c r="I3641">
        <f>152354*(1.01^10)</f>
        <v>168293.59929489868</v>
      </c>
      <c r="J3641" t="s">
        <v>11410</v>
      </c>
      <c r="K3641">
        <f t="shared" si="56"/>
        <v>247.24499476264501</v>
      </c>
    </row>
    <row r="3642" spans="1:11" x14ac:dyDescent="0.2">
      <c r="A3642" t="s">
        <v>61</v>
      </c>
      <c r="B3642" t="s">
        <v>641</v>
      </c>
      <c r="C3642" t="s">
        <v>11411</v>
      </c>
      <c r="D3642" t="s">
        <v>11412</v>
      </c>
      <c r="E3642" t="s">
        <v>1430</v>
      </c>
      <c r="F3642" t="s">
        <v>744</v>
      </c>
      <c r="G3642" t="s">
        <v>17</v>
      </c>
      <c r="H3642">
        <f>50438*(1.01^10)</f>
        <v>55714.930761490345</v>
      </c>
      <c r="I3642">
        <f>253462*(1.01^10)</f>
        <v>279979.73315097479</v>
      </c>
      <c r="J3642" t="s">
        <v>11413</v>
      </c>
      <c r="K3642">
        <f t="shared" si="56"/>
        <v>392.56552515840048</v>
      </c>
    </row>
    <row r="3643" spans="1:11" x14ac:dyDescent="0.2">
      <c r="A3643" t="s">
        <v>61</v>
      </c>
      <c r="B3643" t="s">
        <v>641</v>
      </c>
      <c r="C3643" t="s">
        <v>11414</v>
      </c>
      <c r="D3643" t="s">
        <v>11415</v>
      </c>
      <c r="E3643" t="s">
        <v>32</v>
      </c>
      <c r="F3643" t="s">
        <v>11</v>
      </c>
      <c r="G3643" t="s">
        <v>12</v>
      </c>
      <c r="H3643">
        <f>22204*(1.01^10)</f>
        <v>24527.02967263039</v>
      </c>
      <c r="I3643">
        <f>108461*(1.01^10)</f>
        <v>119808.42034422468</v>
      </c>
      <c r="J3643" t="s">
        <v>11416</v>
      </c>
      <c r="K3643">
        <f t="shared" si="56"/>
        <v>162.35621443716803</v>
      </c>
    </row>
    <row r="3644" spans="1:11" x14ac:dyDescent="0.2">
      <c r="A3644" t="s">
        <v>61</v>
      </c>
      <c r="B3644" t="s">
        <v>641</v>
      </c>
      <c r="C3644" t="s">
        <v>11417</v>
      </c>
      <c r="D3644" t="s">
        <v>11418</v>
      </c>
      <c r="E3644" t="s">
        <v>320</v>
      </c>
      <c r="F3644" t="s">
        <v>44</v>
      </c>
      <c r="G3644" t="s">
        <v>12</v>
      </c>
      <c r="H3644">
        <f>32106*(1.01^10)</f>
        <v>35464.997958452142</v>
      </c>
      <c r="I3644">
        <f>162307*(1.01^10)</f>
        <v>179287.9033091164</v>
      </c>
      <c r="J3644" t="s">
        <v>11419</v>
      </c>
      <c r="K3644">
        <f t="shared" si="56"/>
        <v>156.04072231285082</v>
      </c>
    </row>
    <row r="3645" spans="1:11" x14ac:dyDescent="0.2">
      <c r="A3645" t="s">
        <v>61</v>
      </c>
      <c r="B3645" t="s">
        <v>641</v>
      </c>
      <c r="C3645" t="s">
        <v>11420</v>
      </c>
      <c r="D3645" t="s">
        <v>11421</v>
      </c>
      <c r="E3645" t="s">
        <v>555</v>
      </c>
      <c r="F3645" t="s">
        <v>24</v>
      </c>
      <c r="G3645" t="s">
        <v>12</v>
      </c>
      <c r="H3645">
        <f>32987*(1.01^10)</f>
        <v>36438.170050939414</v>
      </c>
      <c r="I3645">
        <f>176263*(1.01^10)</f>
        <v>194704.00969135517</v>
      </c>
      <c r="J3645" t="s">
        <v>11422</v>
      </c>
      <c r="K3645">
        <f t="shared" si="56"/>
        <v>148.95044994054041</v>
      </c>
    </row>
    <row r="3646" spans="1:11" x14ac:dyDescent="0.2">
      <c r="A3646" t="s">
        <v>61</v>
      </c>
      <c r="B3646" t="s">
        <v>641</v>
      </c>
      <c r="C3646" t="s">
        <v>11423</v>
      </c>
      <c r="D3646" t="s">
        <v>11424</v>
      </c>
      <c r="E3646" t="s">
        <v>253</v>
      </c>
      <c r="F3646" t="s">
        <v>5</v>
      </c>
      <c r="G3646" t="s">
        <v>12</v>
      </c>
      <c r="H3646">
        <f>19016*(1.01^10)</f>
        <v>21005.494336819469</v>
      </c>
      <c r="I3646">
        <f>91906*(1.01^10)</f>
        <v>101521.40105804219</v>
      </c>
      <c r="J3646" t="s">
        <v>11425</v>
      </c>
      <c r="K3646">
        <f t="shared" si="56"/>
        <v>164.97161322037391</v>
      </c>
    </row>
    <row r="3647" spans="1:11" x14ac:dyDescent="0.2">
      <c r="A3647" t="s">
        <v>61</v>
      </c>
      <c r="B3647" t="s">
        <v>641</v>
      </c>
      <c r="C3647" t="s">
        <v>11426</v>
      </c>
      <c r="D3647" t="s">
        <v>11427</v>
      </c>
      <c r="E3647" t="s">
        <v>148</v>
      </c>
      <c r="F3647" t="s">
        <v>11</v>
      </c>
      <c r="G3647" t="s">
        <v>12</v>
      </c>
      <c r="H3647">
        <f>17338*(1.01^10)</f>
        <v>19151.938410379469</v>
      </c>
      <c r="I3647">
        <f>91501*(1.01^10)</f>
        <v>101074.02909725065</v>
      </c>
      <c r="J3647" t="s">
        <v>11428</v>
      </c>
      <c r="K3647">
        <f t="shared" si="56"/>
        <v>218.04955038190636</v>
      </c>
    </row>
    <row r="3648" spans="1:11" x14ac:dyDescent="0.2">
      <c r="A3648" t="s">
        <v>61</v>
      </c>
      <c r="B3648" t="s">
        <v>828</v>
      </c>
      <c r="C3648" t="s">
        <v>11429</v>
      </c>
      <c r="D3648" t="s">
        <v>11430</v>
      </c>
      <c r="E3648" t="s">
        <v>786</v>
      </c>
      <c r="F3648" t="s">
        <v>152</v>
      </c>
      <c r="G3648" t="s">
        <v>17</v>
      </c>
      <c r="H3648">
        <f>45581*(1.01^10)</f>
        <v>50349.781098368127</v>
      </c>
      <c r="I3648">
        <f>226059*(1.01^10)</f>
        <v>249709.77304833152</v>
      </c>
      <c r="J3648" t="s">
        <v>11431</v>
      </c>
      <c r="K3648">
        <f t="shared" si="56"/>
        <v>183.69276037675829</v>
      </c>
    </row>
    <row r="3649" spans="1:11" x14ac:dyDescent="0.2">
      <c r="A3649" t="s">
        <v>61</v>
      </c>
      <c r="B3649" t="s">
        <v>828</v>
      </c>
      <c r="C3649" t="s">
        <v>11432</v>
      </c>
      <c r="D3649" t="s">
        <v>11433</v>
      </c>
      <c r="E3649" t="s">
        <v>151</v>
      </c>
      <c r="F3649" t="s">
        <v>158</v>
      </c>
      <c r="G3649" t="s">
        <v>12</v>
      </c>
      <c r="H3649">
        <f>26514*(1.01^10)</f>
        <v>29287.951033152684</v>
      </c>
      <c r="I3649">
        <f>125018*(1.01^10)</f>
        <v>138097.64887465799</v>
      </c>
      <c r="J3649" t="s">
        <v>11434</v>
      </c>
      <c r="K3649">
        <f t="shared" si="56"/>
        <v>150.30889354928092</v>
      </c>
    </row>
    <row r="3650" spans="1:11" x14ac:dyDescent="0.2">
      <c r="A3650" t="s">
        <v>61</v>
      </c>
      <c r="B3650" t="s">
        <v>828</v>
      </c>
      <c r="C3650" t="s">
        <v>11435</v>
      </c>
      <c r="D3650" t="s">
        <v>11436</v>
      </c>
      <c r="E3650" t="s">
        <v>305</v>
      </c>
      <c r="F3650" t="s">
        <v>356</v>
      </c>
      <c r="G3650" t="s">
        <v>12</v>
      </c>
      <c r="H3650">
        <f>31328*(1.01^10)</f>
        <v>34605.601944882219</v>
      </c>
      <c r="I3650">
        <f>146510*(1.01^10)</f>
        <v>161838.18759399559</v>
      </c>
      <c r="J3650" t="s">
        <v>11437</v>
      </c>
      <c r="K3650">
        <f t="shared" si="56"/>
        <v>178.34194842947304</v>
      </c>
    </row>
    <row r="3651" spans="1:11" x14ac:dyDescent="0.2">
      <c r="A3651" t="s">
        <v>61</v>
      </c>
      <c r="B3651" t="s">
        <v>828</v>
      </c>
      <c r="C3651" t="s">
        <v>11438</v>
      </c>
      <c r="D3651" t="s">
        <v>11439</v>
      </c>
      <c r="E3651" t="s">
        <v>848</v>
      </c>
      <c r="F3651" t="s">
        <v>108</v>
      </c>
      <c r="G3651" t="s">
        <v>5</v>
      </c>
      <c r="H3651">
        <f>56735*(1.01^10)</f>
        <v>62670.736285204701</v>
      </c>
      <c r="I3651">
        <f>268988*(1.01^10)</f>
        <v>297130.09627010912</v>
      </c>
      <c r="J3651" t="s">
        <v>11440</v>
      </c>
      <c r="K3651">
        <f t="shared" ref="K3651:K3714" si="57">I3651/J3651</f>
        <v>169.0939604896121</v>
      </c>
    </row>
    <row r="3652" spans="1:11" x14ac:dyDescent="0.2">
      <c r="A3652" t="s">
        <v>61</v>
      </c>
      <c r="B3652" t="s">
        <v>828</v>
      </c>
      <c r="C3652" t="s">
        <v>11441</v>
      </c>
      <c r="D3652" t="s">
        <v>11442</v>
      </c>
      <c r="E3652" t="s">
        <v>1328</v>
      </c>
      <c r="F3652" t="s">
        <v>5</v>
      </c>
      <c r="G3652" t="s">
        <v>12</v>
      </c>
      <c r="H3652">
        <f>29674*(1.01^10)</f>
        <v>32778.55694945209</v>
      </c>
      <c r="I3652">
        <f>142319*(1.01^10)</f>
        <v>157208.71626639724</v>
      </c>
      <c r="J3652" t="s">
        <v>11443</v>
      </c>
      <c r="K3652">
        <f t="shared" si="57"/>
        <v>243.83353666463012</v>
      </c>
    </row>
    <row r="3653" spans="1:11" x14ac:dyDescent="0.2">
      <c r="A3653" t="s">
        <v>61</v>
      </c>
      <c r="B3653" t="s">
        <v>828</v>
      </c>
      <c r="C3653" t="s">
        <v>11444</v>
      </c>
      <c r="D3653" t="s">
        <v>11445</v>
      </c>
      <c r="E3653" t="s">
        <v>1215</v>
      </c>
      <c r="F3653" t="s">
        <v>92</v>
      </c>
      <c r="G3653" t="s">
        <v>12</v>
      </c>
      <c r="H3653">
        <f>22820*(1.01^10)</f>
        <v>25207.476901883692</v>
      </c>
      <c r="I3653">
        <f>111703*(1.01^10)</f>
        <v>123389.60527480781</v>
      </c>
      <c r="J3653" t="s">
        <v>11446</v>
      </c>
      <c r="K3653">
        <f t="shared" si="57"/>
        <v>157.72484850471</v>
      </c>
    </row>
    <row r="3654" spans="1:11" x14ac:dyDescent="0.2">
      <c r="A3654" t="s">
        <v>61</v>
      </c>
      <c r="B3654" t="s">
        <v>828</v>
      </c>
      <c r="C3654" t="s">
        <v>11447</v>
      </c>
      <c r="D3654" t="s">
        <v>11448</v>
      </c>
      <c r="E3654" t="s">
        <v>416</v>
      </c>
      <c r="F3654" t="s">
        <v>152</v>
      </c>
      <c r="G3654" t="s">
        <v>12</v>
      </c>
      <c r="H3654">
        <f>33614*(1.01^10)</f>
        <v>37130.768123572234</v>
      </c>
      <c r="I3654">
        <f>154774*(1.01^10)</f>
        <v>170966.7848383938</v>
      </c>
      <c r="J3654" t="s">
        <v>11449</v>
      </c>
      <c r="K3654">
        <f t="shared" si="57"/>
        <v>132.96428705755139</v>
      </c>
    </row>
    <row r="3655" spans="1:11" x14ac:dyDescent="0.2">
      <c r="A3655" t="s">
        <v>61</v>
      </c>
      <c r="B3655" t="s">
        <v>828</v>
      </c>
      <c r="C3655" t="s">
        <v>11450</v>
      </c>
      <c r="D3655" t="s">
        <v>11451</v>
      </c>
      <c r="E3655" t="s">
        <v>1441</v>
      </c>
      <c r="F3655" t="s">
        <v>24</v>
      </c>
      <c r="G3655" t="s">
        <v>12</v>
      </c>
      <c r="H3655">
        <f>32629*(1.01^10)</f>
        <v>36042.7153300422</v>
      </c>
      <c r="I3655">
        <f>156226*(1.01^10)</f>
        <v>172570.69616449086</v>
      </c>
      <c r="J3655" t="s">
        <v>11452</v>
      </c>
      <c r="K3655">
        <f t="shared" si="57"/>
        <v>212.95848847187426</v>
      </c>
    </row>
    <row r="3656" spans="1:11" x14ac:dyDescent="0.2">
      <c r="A3656" t="s">
        <v>61</v>
      </c>
      <c r="B3656" t="s">
        <v>751</v>
      </c>
      <c r="C3656" t="s">
        <v>11453</v>
      </c>
      <c r="D3656" t="s">
        <v>11454</v>
      </c>
      <c r="E3656" t="s">
        <v>3231</v>
      </c>
      <c r="F3656" t="s">
        <v>108</v>
      </c>
      <c r="G3656" t="s">
        <v>12</v>
      </c>
      <c r="H3656">
        <f>58726*(1.01^10)</f>
        <v>64870.038936898411</v>
      </c>
      <c r="I3656">
        <f>289295*(1.01^10)</f>
        <v>319561.65777083446</v>
      </c>
      <c r="J3656" t="s">
        <v>11455</v>
      </c>
      <c r="K3656">
        <f t="shared" si="57"/>
        <v>129.80182290921988</v>
      </c>
    </row>
    <row r="3657" spans="1:11" x14ac:dyDescent="0.2">
      <c r="A3657" t="s">
        <v>61</v>
      </c>
      <c r="B3657" t="s">
        <v>751</v>
      </c>
      <c r="C3657" t="s">
        <v>11456</v>
      </c>
      <c r="D3657" t="s">
        <v>11457</v>
      </c>
      <c r="E3657" t="s">
        <v>148</v>
      </c>
      <c r="F3657" t="s">
        <v>11</v>
      </c>
      <c r="G3657" t="s">
        <v>12</v>
      </c>
      <c r="H3657">
        <f>22674*(1.01^10)</f>
        <v>25046.202071573658</v>
      </c>
      <c r="I3657">
        <f>106793*(1.01^10)</f>
        <v>117965.91063903879</v>
      </c>
      <c r="J3657" t="s">
        <v>11458</v>
      </c>
      <c r="K3657">
        <f t="shared" si="57"/>
        <v>125.36861327510064</v>
      </c>
    </row>
    <row r="3658" spans="1:11" x14ac:dyDescent="0.2">
      <c r="A3658" t="s">
        <v>61</v>
      </c>
      <c r="B3658" t="s">
        <v>751</v>
      </c>
      <c r="C3658" t="s">
        <v>11459</v>
      </c>
      <c r="D3658" t="s">
        <v>11460</v>
      </c>
      <c r="E3658" t="s">
        <v>811</v>
      </c>
      <c r="F3658" t="s">
        <v>5</v>
      </c>
      <c r="G3658" t="s">
        <v>17</v>
      </c>
      <c r="H3658">
        <f>59111*(1.01^10)</f>
        <v>65295.318455181725</v>
      </c>
      <c r="I3658">
        <f>280179*(1.01^10)</f>
        <v>309491.92247558595</v>
      </c>
      <c r="J3658" t="s">
        <v>11461</v>
      </c>
      <c r="K3658">
        <f t="shared" si="57"/>
        <v>229.81233126339438</v>
      </c>
    </row>
    <row r="3659" spans="1:11" x14ac:dyDescent="0.2">
      <c r="A3659" t="s">
        <v>61</v>
      </c>
      <c r="B3659" t="s">
        <v>751</v>
      </c>
      <c r="C3659" t="s">
        <v>11462</v>
      </c>
      <c r="D3659" t="s">
        <v>11463</v>
      </c>
      <c r="E3659" t="s">
        <v>1229</v>
      </c>
      <c r="F3659" t="s">
        <v>12</v>
      </c>
      <c r="G3659" t="s">
        <v>12</v>
      </c>
      <c r="H3659">
        <f>17881*(1.01^10)</f>
        <v>19751.748224477753</v>
      </c>
      <c r="I3659">
        <f>86795*(1.01^10)</f>
        <v>95875.677375065512</v>
      </c>
      <c r="J3659" t="s">
        <v>11464</v>
      </c>
      <c r="K3659">
        <f t="shared" si="57"/>
        <v>143.35151289710544</v>
      </c>
    </row>
    <row r="3660" spans="1:11" x14ac:dyDescent="0.2">
      <c r="A3660" t="s">
        <v>61</v>
      </c>
      <c r="B3660" t="s">
        <v>751</v>
      </c>
      <c r="C3660" t="s">
        <v>11465</v>
      </c>
      <c r="D3660" t="s">
        <v>11466</v>
      </c>
      <c r="E3660" t="s">
        <v>598</v>
      </c>
      <c r="F3660" t="s">
        <v>382</v>
      </c>
      <c r="G3660" t="s">
        <v>17</v>
      </c>
      <c r="H3660">
        <f>49478*(1.01^10)</f>
        <v>54654.493521095588</v>
      </c>
      <c r="I3660">
        <f>235790*(1.01^10)</f>
        <v>260458.85095070797</v>
      </c>
      <c r="J3660" t="s">
        <v>11467</v>
      </c>
      <c r="K3660">
        <f t="shared" si="57"/>
        <v>228.27499108119807</v>
      </c>
    </row>
    <row r="3661" spans="1:11" x14ac:dyDescent="0.2">
      <c r="A3661" t="s">
        <v>61</v>
      </c>
      <c r="B3661" t="s">
        <v>751</v>
      </c>
      <c r="C3661" t="s">
        <v>11468</v>
      </c>
      <c r="D3661" t="s">
        <v>452</v>
      </c>
      <c r="E3661" t="s">
        <v>282</v>
      </c>
      <c r="F3661" t="s">
        <v>92</v>
      </c>
      <c r="G3661" t="s">
        <v>12</v>
      </c>
      <c r="H3661">
        <f>23205*(1.01^10)</f>
        <v>25632.756420167007</v>
      </c>
      <c r="I3661">
        <f>113306*(1.01^10)</f>
        <v>125160.31454184196</v>
      </c>
      <c r="J3661" t="s">
        <v>11469</v>
      </c>
      <c r="K3661">
        <f t="shared" si="57"/>
        <v>130.84680705214856</v>
      </c>
    </row>
    <row r="3662" spans="1:11" x14ac:dyDescent="0.2">
      <c r="A3662" t="s">
        <v>61</v>
      </c>
      <c r="B3662" t="s">
        <v>751</v>
      </c>
      <c r="C3662" t="s">
        <v>11470</v>
      </c>
      <c r="D3662" t="s">
        <v>11471</v>
      </c>
      <c r="E3662" t="s">
        <v>2484</v>
      </c>
      <c r="F3662" t="s">
        <v>458</v>
      </c>
      <c r="G3662" t="s">
        <v>12</v>
      </c>
      <c r="H3662">
        <f>62456*(1.01^10)</f>
        <v>68990.2794646822</v>
      </c>
      <c r="I3662">
        <f>287078*(1.01^10)</f>
        <v>317112.71051879786</v>
      </c>
      <c r="J3662" t="s">
        <v>11472</v>
      </c>
      <c r="K3662">
        <f t="shared" si="57"/>
        <v>175.17233198752029</v>
      </c>
    </row>
    <row r="3663" spans="1:11" x14ac:dyDescent="0.2">
      <c r="A3663" t="s">
        <v>61</v>
      </c>
      <c r="B3663" t="s">
        <v>751</v>
      </c>
      <c r="C3663" t="s">
        <v>11473</v>
      </c>
      <c r="D3663" t="s">
        <v>11474</v>
      </c>
      <c r="E3663" t="s">
        <v>453</v>
      </c>
      <c r="F3663" t="s">
        <v>158</v>
      </c>
      <c r="G3663" t="s">
        <v>12</v>
      </c>
      <c r="H3663">
        <f>36301*(1.01^10)</f>
        <v>40098.887774552146</v>
      </c>
      <c r="I3663">
        <f>176126*(1.01^10)</f>
        <v>194552.67646017385</v>
      </c>
      <c r="J3663" t="s">
        <v>11475</v>
      </c>
      <c r="K3663">
        <f t="shared" si="57"/>
        <v>271.43644551658673</v>
      </c>
    </row>
    <row r="3664" spans="1:11" x14ac:dyDescent="0.2">
      <c r="A3664" t="s">
        <v>61</v>
      </c>
      <c r="B3664" t="s">
        <v>3388</v>
      </c>
      <c r="C3664" t="s">
        <v>11476</v>
      </c>
      <c r="D3664" t="s">
        <v>11477</v>
      </c>
      <c r="E3664" t="s">
        <v>410</v>
      </c>
      <c r="F3664" t="s">
        <v>6</v>
      </c>
      <c r="G3664" t="s">
        <v>12</v>
      </c>
      <c r="H3664">
        <f>18434*(1.01^10)</f>
        <v>20362.60425983015</v>
      </c>
      <c r="I3664">
        <f>90046*(1.01^10)</f>
        <v>99466.803904777349</v>
      </c>
      <c r="J3664" t="s">
        <v>11478</v>
      </c>
      <c r="K3664">
        <f t="shared" si="57"/>
        <v>220.61410104573616</v>
      </c>
    </row>
    <row r="3665" spans="1:11" x14ac:dyDescent="0.2">
      <c r="A3665" t="s">
        <v>61</v>
      </c>
      <c r="B3665" t="s">
        <v>3388</v>
      </c>
      <c r="C3665" t="s">
        <v>11479</v>
      </c>
      <c r="D3665" t="s">
        <v>11480</v>
      </c>
      <c r="E3665" t="s">
        <v>977</v>
      </c>
      <c r="F3665" t="s">
        <v>158</v>
      </c>
      <c r="G3665" t="s">
        <v>24</v>
      </c>
      <c r="H3665">
        <f>16009*(1.01^10)</f>
        <v>17683.895605707978</v>
      </c>
      <c r="I3665">
        <f>82167*(1.01^10)</f>
        <v>90763.486178662453</v>
      </c>
      <c r="J3665" t="s">
        <v>11481</v>
      </c>
      <c r="K3665">
        <f t="shared" si="57"/>
        <v>208.45464647891376</v>
      </c>
    </row>
    <row r="3666" spans="1:11" x14ac:dyDescent="0.2">
      <c r="A3666" t="s">
        <v>61</v>
      </c>
      <c r="B3666" t="s">
        <v>3388</v>
      </c>
      <c r="C3666" t="s">
        <v>11482</v>
      </c>
      <c r="D3666" t="s">
        <v>11483</v>
      </c>
      <c r="E3666" t="s">
        <v>1106</v>
      </c>
      <c r="F3666" t="s">
        <v>382</v>
      </c>
      <c r="G3666" t="s">
        <v>12</v>
      </c>
      <c r="H3666">
        <f>30841*(1.01^10)</f>
        <v>34067.650969806964</v>
      </c>
      <c r="I3666">
        <f>153933*(1.01^10)</f>
        <v>170037.79763092299</v>
      </c>
      <c r="J3666" t="s">
        <v>11484</v>
      </c>
      <c r="K3666">
        <f t="shared" si="57"/>
        <v>339.65755033483532</v>
      </c>
    </row>
    <row r="3667" spans="1:11" x14ac:dyDescent="0.2">
      <c r="A3667" t="s">
        <v>61</v>
      </c>
      <c r="B3667" t="s">
        <v>3388</v>
      </c>
      <c r="C3667" t="s">
        <v>11485</v>
      </c>
      <c r="D3667" t="s">
        <v>11486</v>
      </c>
      <c r="E3667" t="s">
        <v>1223</v>
      </c>
      <c r="F3667" t="s">
        <v>108</v>
      </c>
      <c r="G3667" t="s">
        <v>24</v>
      </c>
      <c r="H3667">
        <f>14386*(1.01^10)</f>
        <v>15891.093896165592</v>
      </c>
      <c r="I3667">
        <f>71501*(1.01^10)</f>
        <v>78981.586589026556</v>
      </c>
      <c r="J3667" t="s">
        <v>11487</v>
      </c>
      <c r="K3667">
        <f t="shared" si="57"/>
        <v>157.41307713766679</v>
      </c>
    </row>
    <row r="3668" spans="1:11" x14ac:dyDescent="0.2">
      <c r="A3668" t="s">
        <v>61</v>
      </c>
      <c r="B3668" t="s">
        <v>3388</v>
      </c>
      <c r="C3668" t="s">
        <v>11488</v>
      </c>
      <c r="D3668" t="s">
        <v>11489</v>
      </c>
      <c r="E3668" t="s">
        <v>619</v>
      </c>
      <c r="F3668" t="s">
        <v>152</v>
      </c>
      <c r="G3668" t="s">
        <v>12</v>
      </c>
      <c r="H3668">
        <f>15424*(1.01^10)</f>
        <v>17037.691662342422</v>
      </c>
      <c r="I3668">
        <f>76786*(1.01^10)</f>
        <v>84819.514521824764</v>
      </c>
      <c r="J3668" t="s">
        <v>11490</v>
      </c>
      <c r="K3668">
        <f t="shared" si="57"/>
        <v>203.90706714211845</v>
      </c>
    </row>
    <row r="3669" spans="1:11" x14ac:dyDescent="0.2">
      <c r="A3669" t="s">
        <v>61</v>
      </c>
      <c r="B3669" t="s">
        <v>3388</v>
      </c>
      <c r="C3669" t="s">
        <v>11491</v>
      </c>
      <c r="D3669" t="s">
        <v>11492</v>
      </c>
      <c r="E3669" t="s">
        <v>1549</v>
      </c>
      <c r="F3669" t="s">
        <v>382</v>
      </c>
      <c r="G3669" t="s">
        <v>24</v>
      </c>
      <c r="H3669">
        <f>18285*(1.01^10)</f>
        <v>20198.015563143879</v>
      </c>
      <c r="I3669">
        <f>96032*(1.01^10)</f>
        <v>106079.07194748882</v>
      </c>
      <c r="J3669" t="s">
        <v>11493</v>
      </c>
      <c r="K3669">
        <f t="shared" si="57"/>
        <v>103.05110782888406</v>
      </c>
    </row>
    <row r="3670" spans="1:11" x14ac:dyDescent="0.2">
      <c r="A3670" t="s">
        <v>61</v>
      </c>
      <c r="B3670" t="s">
        <v>1573</v>
      </c>
      <c r="C3670" t="s">
        <v>11494</v>
      </c>
      <c r="D3670" t="s">
        <v>11495</v>
      </c>
      <c r="E3670" t="s">
        <v>123</v>
      </c>
      <c r="F3670" t="s">
        <v>108</v>
      </c>
      <c r="G3670" t="s">
        <v>12</v>
      </c>
      <c r="H3670">
        <f>38618*(1.01^10)</f>
        <v>42658.297239129904</v>
      </c>
      <c r="I3670">
        <f>186788*(1.01^10)</f>
        <v>206330.15756130812</v>
      </c>
      <c r="J3670" t="s">
        <v>11496</v>
      </c>
      <c r="K3670">
        <f t="shared" si="57"/>
        <v>151.82226137126452</v>
      </c>
    </row>
    <row r="3671" spans="1:11" x14ac:dyDescent="0.2">
      <c r="A3671" t="s">
        <v>61</v>
      </c>
      <c r="B3671" t="s">
        <v>1573</v>
      </c>
      <c r="C3671" t="s">
        <v>11497</v>
      </c>
      <c r="D3671" t="s">
        <v>11498</v>
      </c>
      <c r="E3671" t="s">
        <v>479</v>
      </c>
      <c r="F3671" t="s">
        <v>382</v>
      </c>
      <c r="G3671" t="s">
        <v>5</v>
      </c>
      <c r="H3671">
        <f>49297*(1.01^10)</f>
        <v>54454.556916396163</v>
      </c>
      <c r="I3671">
        <f>240719*(1.01^10)</f>
        <v>265903.53340685979</v>
      </c>
      <c r="J3671" t="s">
        <v>11499</v>
      </c>
      <c r="K3671">
        <f t="shared" si="57"/>
        <v>257.71232420593304</v>
      </c>
    </row>
    <row r="3672" spans="1:11" x14ac:dyDescent="0.2">
      <c r="A3672" t="s">
        <v>61</v>
      </c>
      <c r="B3672" t="s">
        <v>1573</v>
      </c>
      <c r="C3672" t="s">
        <v>11500</v>
      </c>
      <c r="D3672" t="s">
        <v>11501</v>
      </c>
      <c r="E3672" t="s">
        <v>829</v>
      </c>
      <c r="F3672" t="s">
        <v>24</v>
      </c>
      <c r="G3672" t="s">
        <v>12</v>
      </c>
      <c r="H3672">
        <f>34376*(1.01^10)</f>
        <v>37972.490183135575</v>
      </c>
      <c r="I3672">
        <f>165749*(1.01^10)</f>
        <v>183090.01266478177</v>
      </c>
      <c r="J3672" t="s">
        <v>11502</v>
      </c>
      <c r="K3672">
        <f t="shared" si="57"/>
        <v>792.74349067181913</v>
      </c>
    </row>
    <row r="3673" spans="1:11" x14ac:dyDescent="0.2">
      <c r="A3673" t="s">
        <v>61</v>
      </c>
      <c r="B3673" t="s">
        <v>1573</v>
      </c>
      <c r="C3673" t="s">
        <v>11503</v>
      </c>
      <c r="D3673" t="s">
        <v>11504</v>
      </c>
      <c r="E3673" t="s">
        <v>126</v>
      </c>
      <c r="F3673" t="s">
        <v>11</v>
      </c>
      <c r="G3673" t="s">
        <v>12</v>
      </c>
      <c r="H3673">
        <f>12417*(1.01^10)</f>
        <v>13716.092931230929</v>
      </c>
      <c r="I3673">
        <f>57603*(1.01^10)</f>
        <v>63629.548290061626</v>
      </c>
      <c r="J3673" t="s">
        <v>11505</v>
      </c>
      <c r="K3673">
        <f t="shared" si="57"/>
        <v>369.57236527366899</v>
      </c>
    </row>
    <row r="3674" spans="1:11" x14ac:dyDescent="0.2">
      <c r="A3674" t="s">
        <v>61</v>
      </c>
      <c r="B3674" t="s">
        <v>1573</v>
      </c>
      <c r="C3674" t="s">
        <v>11506</v>
      </c>
      <c r="D3674" t="s">
        <v>11507</v>
      </c>
      <c r="E3674" t="s">
        <v>1002</v>
      </c>
      <c r="F3674" t="s">
        <v>12</v>
      </c>
      <c r="G3674" t="s">
        <v>12</v>
      </c>
      <c r="H3674">
        <f>27711*(1.01^10)</f>
        <v>30610.183717269894</v>
      </c>
      <c r="I3674">
        <f>134364*(1.01^10)</f>
        <v>148421.44725875111</v>
      </c>
      <c r="J3674" t="s">
        <v>11508</v>
      </c>
      <c r="K3674">
        <f t="shared" si="57"/>
        <v>254.61852628769023</v>
      </c>
    </row>
    <row r="3675" spans="1:11" x14ac:dyDescent="0.2">
      <c r="A3675" t="s">
        <v>61</v>
      </c>
      <c r="B3675" t="s">
        <v>1573</v>
      </c>
      <c r="C3675" t="s">
        <v>11509</v>
      </c>
      <c r="D3675" t="s">
        <v>11510</v>
      </c>
      <c r="E3675" t="s">
        <v>1525</v>
      </c>
      <c r="F3675" t="s">
        <v>152</v>
      </c>
      <c r="G3675" t="s">
        <v>12</v>
      </c>
      <c r="H3675">
        <f>30465*(1.01^10)</f>
        <v>33652.313050652352</v>
      </c>
      <c r="I3675">
        <f>149184*(1.01^10)</f>
        <v>164791.94715734516</v>
      </c>
      <c r="J3675" t="s">
        <v>11511</v>
      </c>
      <c r="K3675">
        <f t="shared" si="57"/>
        <v>102.23869655222222</v>
      </c>
    </row>
    <row r="3676" spans="1:11" x14ac:dyDescent="0.2">
      <c r="A3676" t="s">
        <v>61</v>
      </c>
      <c r="B3676" t="s">
        <v>1573</v>
      </c>
      <c r="C3676" t="s">
        <v>11512</v>
      </c>
      <c r="D3676" t="s">
        <v>4771</v>
      </c>
      <c r="E3676" t="s">
        <v>2162</v>
      </c>
      <c r="F3676" t="s">
        <v>11</v>
      </c>
      <c r="G3676" t="s">
        <v>11</v>
      </c>
      <c r="H3676">
        <f>37733*(1.01^10)</f>
        <v>41680.706658140989</v>
      </c>
      <c r="I3676">
        <f>181261*(1.01^10)</f>
        <v>200224.91107416039</v>
      </c>
      <c r="J3676" t="s">
        <v>11513</v>
      </c>
      <c r="K3676">
        <f t="shared" si="57"/>
        <v>185.6704828394667</v>
      </c>
    </row>
    <row r="3677" spans="1:11" x14ac:dyDescent="0.2">
      <c r="A3677" t="s">
        <v>61</v>
      </c>
      <c r="B3677" t="s">
        <v>1573</v>
      </c>
      <c r="C3677" t="s">
        <v>11514</v>
      </c>
      <c r="D3677" t="s">
        <v>11515</v>
      </c>
      <c r="E3677" t="s">
        <v>404</v>
      </c>
      <c r="F3677" t="s">
        <v>17</v>
      </c>
      <c r="G3677" t="s">
        <v>24</v>
      </c>
      <c r="H3677">
        <f>26582*(1.01^10)</f>
        <v>29363.065337680644</v>
      </c>
      <c r="I3677">
        <f>125682*(1.01^10)</f>
        <v>138831.11796593104</v>
      </c>
      <c r="J3677" t="s">
        <v>11516</v>
      </c>
      <c r="K3677">
        <f t="shared" si="57"/>
        <v>218.3154547533764</v>
      </c>
    </row>
    <row r="3678" spans="1:11" x14ac:dyDescent="0.2">
      <c r="A3678" t="s">
        <v>61</v>
      </c>
      <c r="B3678" t="s">
        <v>4632</v>
      </c>
      <c r="C3678" t="s">
        <v>11517</v>
      </c>
      <c r="D3678" t="s">
        <v>11518</v>
      </c>
      <c r="E3678" t="s">
        <v>4</v>
      </c>
      <c r="F3678" t="s">
        <v>92</v>
      </c>
      <c r="G3678" t="s">
        <v>12</v>
      </c>
      <c r="H3678">
        <f>79183*(1.01^10)</f>
        <v>87467.293756435422</v>
      </c>
      <c r="I3678">
        <f>369519*(1.01^10)</f>
        <v>408178.86315982294</v>
      </c>
      <c r="J3678" t="s">
        <v>11519</v>
      </c>
      <c r="K3678">
        <f t="shared" si="57"/>
        <v>675.75170213700312</v>
      </c>
    </row>
    <row r="3679" spans="1:11" x14ac:dyDescent="0.2">
      <c r="A3679" t="s">
        <v>61</v>
      </c>
      <c r="B3679" t="s">
        <v>4632</v>
      </c>
      <c r="C3679" t="s">
        <v>11520</v>
      </c>
      <c r="D3679" t="s">
        <v>11521</v>
      </c>
      <c r="E3679" t="s">
        <v>436</v>
      </c>
      <c r="F3679" t="s">
        <v>5</v>
      </c>
      <c r="G3679" t="s">
        <v>24</v>
      </c>
      <c r="H3679">
        <f>28937*(1.01^10)</f>
        <v>31964.45044302403</v>
      </c>
      <c r="I3679">
        <f>127211*(1.01^10)</f>
        <v>140520.08519568478</v>
      </c>
      <c r="J3679" t="s">
        <v>11522</v>
      </c>
      <c r="K3679">
        <f t="shared" si="57"/>
        <v>205.1122414888296</v>
      </c>
    </row>
    <row r="3680" spans="1:11" x14ac:dyDescent="0.2">
      <c r="A3680" t="s">
        <v>61</v>
      </c>
      <c r="B3680" t="s">
        <v>4632</v>
      </c>
      <c r="C3680" t="s">
        <v>11523</v>
      </c>
      <c r="D3680" t="s">
        <v>8630</v>
      </c>
      <c r="E3680" t="s">
        <v>180</v>
      </c>
      <c r="F3680" t="s">
        <v>24</v>
      </c>
      <c r="G3680" t="s">
        <v>12</v>
      </c>
      <c r="H3680">
        <f>23344*(1.01^10)</f>
        <v>25786.298895599164</v>
      </c>
      <c r="I3680">
        <f>103512*(1.01^10)</f>
        <v>114341.64544556463</v>
      </c>
      <c r="J3680" t="s">
        <v>11524</v>
      </c>
      <c r="K3680">
        <f t="shared" si="57"/>
        <v>224.99255844317645</v>
      </c>
    </row>
    <row r="3681" spans="1:11" x14ac:dyDescent="0.2">
      <c r="A3681" t="s">
        <v>61</v>
      </c>
      <c r="B3681" t="s">
        <v>4632</v>
      </c>
      <c r="C3681" t="s">
        <v>11525</v>
      </c>
      <c r="D3681" t="s">
        <v>11526</v>
      </c>
      <c r="E3681" t="s">
        <v>1549</v>
      </c>
      <c r="F3681" t="s">
        <v>11</v>
      </c>
      <c r="G3681" t="s">
        <v>24</v>
      </c>
      <c r="H3681">
        <f>23463*(1.01^10)</f>
        <v>25917.748928523099</v>
      </c>
      <c r="I3681">
        <f>104196*(1.01^10)</f>
        <v>115097.20697934589</v>
      </c>
      <c r="J3681" t="s">
        <v>11527</v>
      </c>
      <c r="K3681">
        <f t="shared" si="57"/>
        <v>236.20516642817324</v>
      </c>
    </row>
    <row r="3682" spans="1:11" x14ac:dyDescent="0.2">
      <c r="A3682" t="s">
        <v>61</v>
      </c>
      <c r="B3682" t="s">
        <v>4632</v>
      </c>
      <c r="C3682" t="s">
        <v>11528</v>
      </c>
      <c r="D3682" t="s">
        <v>11529</v>
      </c>
      <c r="E3682" t="s">
        <v>1295</v>
      </c>
      <c r="F3682" t="s">
        <v>24</v>
      </c>
      <c r="G3682" t="s">
        <v>17</v>
      </c>
      <c r="H3682">
        <f>46801*(1.01^10)</f>
        <v>51697.420091369793</v>
      </c>
      <c r="I3682">
        <f>210861*(1.01^10)</f>
        <v>232921.72598633205</v>
      </c>
      <c r="J3682" t="s">
        <v>11530</v>
      </c>
      <c r="K3682">
        <f t="shared" si="57"/>
        <v>322.25043516388905</v>
      </c>
    </row>
    <row r="3683" spans="1:11" x14ac:dyDescent="0.2">
      <c r="A3683" t="s">
        <v>61</v>
      </c>
      <c r="B3683" t="s">
        <v>4632</v>
      </c>
      <c r="C3683" t="s">
        <v>11531</v>
      </c>
      <c r="D3683" t="s">
        <v>11532</v>
      </c>
      <c r="E3683" t="s">
        <v>128</v>
      </c>
      <c r="F3683" t="s">
        <v>405</v>
      </c>
      <c r="G3683" t="s">
        <v>24</v>
      </c>
      <c r="H3683">
        <f>45738*(1.01^10)</f>
        <v>50523.206772057682</v>
      </c>
      <c r="I3683">
        <f>198914*(1.01^10)</f>
        <v>219724.80545404437</v>
      </c>
      <c r="J3683" t="s">
        <v>11533</v>
      </c>
      <c r="K3683">
        <f t="shared" si="57"/>
        <v>233.71397286250328</v>
      </c>
    </row>
    <row r="3684" spans="1:11" x14ac:dyDescent="0.2">
      <c r="A3684" t="s">
        <v>61</v>
      </c>
      <c r="B3684" t="s">
        <v>4632</v>
      </c>
      <c r="C3684" t="s">
        <v>11534</v>
      </c>
      <c r="D3684" t="s">
        <v>11535</v>
      </c>
      <c r="E3684" t="s">
        <v>798</v>
      </c>
      <c r="F3684" t="s">
        <v>422</v>
      </c>
      <c r="G3684" t="s">
        <v>24</v>
      </c>
      <c r="H3684">
        <f>42085*(1.01^10)</f>
        <v>46488.022147930555</v>
      </c>
      <c r="I3684">
        <f>177829*(1.01^10)</f>
        <v>196433.84793974913</v>
      </c>
      <c r="J3684" t="s">
        <v>11536</v>
      </c>
      <c r="K3684">
        <f t="shared" si="57"/>
        <v>195.95308175229559</v>
      </c>
    </row>
    <row r="3685" spans="1:11" x14ac:dyDescent="0.2">
      <c r="A3685" t="s">
        <v>61</v>
      </c>
      <c r="B3685" t="s">
        <v>110</v>
      </c>
      <c r="C3685" t="s">
        <v>11537</v>
      </c>
      <c r="D3685" t="s">
        <v>11538</v>
      </c>
      <c r="E3685" t="s">
        <v>328</v>
      </c>
      <c r="F3685" t="s">
        <v>158</v>
      </c>
      <c r="G3685" t="s">
        <v>12</v>
      </c>
      <c r="H3685">
        <f>42989*(1.01^10)</f>
        <v>47486.600549302282</v>
      </c>
      <c r="I3685">
        <f>179647*(1.01^10)</f>
        <v>198442.0509637467</v>
      </c>
      <c r="J3685" t="s">
        <v>11539</v>
      </c>
      <c r="K3685">
        <f t="shared" si="57"/>
        <v>417.77223201846141</v>
      </c>
    </row>
    <row r="3686" spans="1:11" x14ac:dyDescent="0.2">
      <c r="A3686" t="s">
        <v>61</v>
      </c>
      <c r="B3686" t="s">
        <v>110</v>
      </c>
      <c r="C3686" t="s">
        <v>11540</v>
      </c>
      <c r="D3686" t="s">
        <v>11541</v>
      </c>
      <c r="E3686" t="s">
        <v>1955</v>
      </c>
      <c r="F3686" t="s">
        <v>458</v>
      </c>
      <c r="G3686" t="s">
        <v>12</v>
      </c>
      <c r="H3686">
        <f>40999*(1.01^10)</f>
        <v>45288.402519733987</v>
      </c>
      <c r="I3686">
        <f>169298*(1.01^10)</f>
        <v>187010.31658786614</v>
      </c>
      <c r="J3686" t="s">
        <v>11542</v>
      </c>
      <c r="K3686">
        <f t="shared" si="57"/>
        <v>290.86805140240301</v>
      </c>
    </row>
    <row r="3687" spans="1:11" x14ac:dyDescent="0.2">
      <c r="A3687" t="s">
        <v>61</v>
      </c>
      <c r="B3687" t="s">
        <v>110</v>
      </c>
      <c r="C3687" t="s">
        <v>11543</v>
      </c>
      <c r="D3687" t="s">
        <v>8573</v>
      </c>
      <c r="E3687" t="s">
        <v>725</v>
      </c>
      <c r="F3687" t="s">
        <v>92</v>
      </c>
      <c r="G3687" t="s">
        <v>17</v>
      </c>
      <c r="H3687">
        <f>37716*(1.01^10)</f>
        <v>41661.928082008999</v>
      </c>
      <c r="I3687">
        <f>163738*(1.01^10)</f>
        <v>180868.61757057984</v>
      </c>
      <c r="J3687" t="s">
        <v>11544</v>
      </c>
      <c r="K3687">
        <f t="shared" si="57"/>
        <v>297.95507004664154</v>
      </c>
    </row>
    <row r="3688" spans="1:11" x14ac:dyDescent="0.2">
      <c r="A3688" t="s">
        <v>61</v>
      </c>
      <c r="B3688" t="s">
        <v>110</v>
      </c>
      <c r="C3688" t="s">
        <v>11545</v>
      </c>
      <c r="D3688" t="s">
        <v>2170</v>
      </c>
      <c r="E3688" t="s">
        <v>242</v>
      </c>
      <c r="F3688" t="s">
        <v>12</v>
      </c>
      <c r="G3688" t="s">
        <v>12</v>
      </c>
      <c r="H3688">
        <f>41902*(1.01^10)</f>
        <v>46285.8762989803</v>
      </c>
      <c r="I3688">
        <f>191710*(1.01^10)</f>
        <v>211767.10766258207</v>
      </c>
      <c r="J3688" t="s">
        <v>11546</v>
      </c>
      <c r="K3688">
        <f t="shared" si="57"/>
        <v>241.21337507606626</v>
      </c>
    </row>
    <row r="3689" spans="1:11" x14ac:dyDescent="0.2">
      <c r="A3689" t="s">
        <v>61</v>
      </c>
      <c r="B3689" t="s">
        <v>110</v>
      </c>
      <c r="C3689" t="s">
        <v>11547</v>
      </c>
      <c r="D3689" t="s">
        <v>11548</v>
      </c>
      <c r="E3689" t="s">
        <v>2603</v>
      </c>
      <c r="F3689" t="s">
        <v>5</v>
      </c>
      <c r="G3689" t="s">
        <v>744</v>
      </c>
      <c r="H3689">
        <f>288065*(1.01^10)</f>
        <v>318202.97255657869</v>
      </c>
      <c r="I3689">
        <f>1370673*(1.01^10)</f>
        <v>1514075.7225037522</v>
      </c>
      <c r="J3689" t="s">
        <v>11549</v>
      </c>
      <c r="K3689">
        <f t="shared" si="57"/>
        <v>1320.0218146677671</v>
      </c>
    </row>
    <row r="3690" spans="1:11" x14ac:dyDescent="0.2">
      <c r="A3690" t="s">
        <v>61</v>
      </c>
      <c r="B3690" t="s">
        <v>110</v>
      </c>
      <c r="C3690" t="s">
        <v>11550</v>
      </c>
      <c r="D3690" t="s">
        <v>11551</v>
      </c>
      <c r="E3690" t="s">
        <v>10</v>
      </c>
      <c r="F3690" t="s">
        <v>382</v>
      </c>
      <c r="G3690" t="s">
        <v>744</v>
      </c>
      <c r="H3690">
        <f>58673*(1.01^10)</f>
        <v>64811.493964251618</v>
      </c>
      <c r="I3690">
        <f>264780*(1.01^10)</f>
        <v>292481.84636637877</v>
      </c>
      <c r="J3690" t="s">
        <v>11552</v>
      </c>
      <c r="K3690">
        <f t="shared" si="57"/>
        <v>612.52847841423841</v>
      </c>
    </row>
    <row r="3691" spans="1:11" x14ac:dyDescent="0.2">
      <c r="A3691" t="s">
        <v>61</v>
      </c>
      <c r="B3691" t="s">
        <v>110</v>
      </c>
      <c r="C3691" t="s">
        <v>11553</v>
      </c>
      <c r="D3691" t="s">
        <v>11554</v>
      </c>
      <c r="E3691" t="s">
        <v>350</v>
      </c>
      <c r="F3691" t="s">
        <v>158</v>
      </c>
      <c r="G3691" t="s">
        <v>12</v>
      </c>
      <c r="H3691">
        <f>28716*(1.01^10)</f>
        <v>31720.328953308155</v>
      </c>
      <c r="I3691">
        <f>123443*(1.01^10)</f>
        <v>136357.86902713534</v>
      </c>
      <c r="J3691" t="s">
        <v>11555</v>
      </c>
      <c r="K3691">
        <f t="shared" si="57"/>
        <v>138.63150858397847</v>
      </c>
    </row>
    <row r="3692" spans="1:11" x14ac:dyDescent="0.2">
      <c r="A3692" t="s">
        <v>61</v>
      </c>
      <c r="B3692" t="s">
        <v>5339</v>
      </c>
      <c r="C3692" t="s">
        <v>11556</v>
      </c>
      <c r="D3692" t="s">
        <v>11557</v>
      </c>
      <c r="E3692" t="s">
        <v>591</v>
      </c>
      <c r="F3692" t="s">
        <v>158</v>
      </c>
      <c r="G3692" t="s">
        <v>12</v>
      </c>
      <c r="H3692">
        <f>47743*(1.01^10)</f>
        <v>52737.974133507145</v>
      </c>
      <c r="I3692">
        <f>196129*(1.01^10)</f>
        <v>216648.43283477417</v>
      </c>
      <c r="J3692" t="s">
        <v>11558</v>
      </c>
      <c r="K3692">
        <f t="shared" si="57"/>
        <v>235.62486418283828</v>
      </c>
    </row>
    <row r="3693" spans="1:11" x14ac:dyDescent="0.2">
      <c r="A3693" t="s">
        <v>61</v>
      </c>
      <c r="B3693" t="s">
        <v>5339</v>
      </c>
      <c r="C3693" t="s">
        <v>11559</v>
      </c>
      <c r="D3693" t="s">
        <v>11560</v>
      </c>
      <c r="E3693" t="s">
        <v>1051</v>
      </c>
      <c r="F3693" t="s">
        <v>92</v>
      </c>
      <c r="G3693" t="s">
        <v>17</v>
      </c>
      <c r="H3693">
        <f>92558*(1.01^10)</f>
        <v>102241.61468381029</v>
      </c>
      <c r="I3693">
        <f>421323*(1.01^10)</f>
        <v>465402.70774462499</v>
      </c>
      <c r="J3693" t="s">
        <v>11561</v>
      </c>
      <c r="K3693">
        <f t="shared" si="57"/>
        <v>243.97573439770571</v>
      </c>
    </row>
    <row r="3694" spans="1:11" x14ac:dyDescent="0.2">
      <c r="A3694" t="s">
        <v>61</v>
      </c>
      <c r="B3694" t="s">
        <v>5339</v>
      </c>
      <c r="C3694" t="s">
        <v>11562</v>
      </c>
      <c r="D3694" t="s">
        <v>11563</v>
      </c>
      <c r="E3694" t="s">
        <v>495</v>
      </c>
      <c r="F3694" t="s">
        <v>17</v>
      </c>
      <c r="G3694" t="s">
        <v>17</v>
      </c>
      <c r="H3694">
        <f>50247*(1.01^10)</f>
        <v>55503.947935536802</v>
      </c>
      <c r="I3694">
        <f>219323*(1.01^10)</f>
        <v>242269.03841156166</v>
      </c>
      <c r="J3694" t="s">
        <v>11564</v>
      </c>
      <c r="K3694">
        <f t="shared" si="57"/>
        <v>201.72460756548693</v>
      </c>
    </row>
    <row r="3695" spans="1:11" x14ac:dyDescent="0.2">
      <c r="A3695" t="s">
        <v>61</v>
      </c>
      <c r="B3695" t="s">
        <v>5339</v>
      </c>
      <c r="C3695" t="s">
        <v>11565</v>
      </c>
      <c r="D3695" t="s">
        <v>11566</v>
      </c>
      <c r="E3695" t="s">
        <v>679</v>
      </c>
      <c r="F3695" t="s">
        <v>152</v>
      </c>
      <c r="G3695" t="s">
        <v>17</v>
      </c>
      <c r="H3695">
        <f>37123*(1.01^10)</f>
        <v>41006.887161640152</v>
      </c>
      <c r="I3695">
        <f>160160*(1.01^10)</f>
        <v>176916.27960585855</v>
      </c>
      <c r="J3695" t="s">
        <v>11567</v>
      </c>
      <c r="K3695">
        <f t="shared" si="57"/>
        <v>273.01128237183673</v>
      </c>
    </row>
    <row r="3696" spans="1:11" x14ac:dyDescent="0.2">
      <c r="A3696" t="s">
        <v>61</v>
      </c>
      <c r="B3696" t="s">
        <v>5339</v>
      </c>
      <c r="C3696" t="s">
        <v>11568</v>
      </c>
      <c r="D3696" t="s">
        <v>11044</v>
      </c>
      <c r="E3696" t="s">
        <v>28</v>
      </c>
      <c r="F3696" t="s">
        <v>108</v>
      </c>
      <c r="G3696" t="s">
        <v>12</v>
      </c>
      <c r="H3696">
        <f>22615*(1.01^10)</f>
        <v>24981.029366174396</v>
      </c>
      <c r="I3696">
        <f>94919*(1.01^10)</f>
        <v>104849.62752190615</v>
      </c>
      <c r="J3696" t="s">
        <v>11569</v>
      </c>
      <c r="K3696">
        <f t="shared" si="57"/>
        <v>229.45186643519057</v>
      </c>
    </row>
    <row r="3697" spans="1:11" x14ac:dyDescent="0.2">
      <c r="A3697" t="s">
        <v>61</v>
      </c>
      <c r="B3697" t="s">
        <v>3443</v>
      </c>
      <c r="C3697" t="s">
        <v>11570</v>
      </c>
      <c r="D3697" t="s">
        <v>2170</v>
      </c>
      <c r="E3697" t="s">
        <v>1350</v>
      </c>
      <c r="F3697" t="s">
        <v>274</v>
      </c>
      <c r="G3697" t="s">
        <v>12</v>
      </c>
      <c r="H3697">
        <f>52770*(1.01^10)</f>
        <v>58290.909557949271</v>
      </c>
      <c r="I3697">
        <f>217045*(1.01^10)</f>
        <v>239752.70920987494</v>
      </c>
      <c r="J3697" t="s">
        <v>11571</v>
      </c>
      <c r="K3697">
        <f t="shared" si="57"/>
        <v>109.74929812052774</v>
      </c>
    </row>
    <row r="3698" spans="1:11" x14ac:dyDescent="0.2">
      <c r="A3698" t="s">
        <v>61</v>
      </c>
      <c r="B3698" t="s">
        <v>3443</v>
      </c>
      <c r="C3698" t="s">
        <v>11572</v>
      </c>
      <c r="D3698" t="s">
        <v>11573</v>
      </c>
      <c r="E3698" t="s">
        <v>3085</v>
      </c>
      <c r="F3698" t="s">
        <v>152</v>
      </c>
      <c r="G3698" t="s">
        <v>12</v>
      </c>
      <c r="H3698">
        <f>116860*(1.01^10)</f>
        <v>129086.14157555338</v>
      </c>
      <c r="I3698">
        <f>487479*(1.01^10)</f>
        <v>538480.08907332865</v>
      </c>
      <c r="J3698" t="s">
        <v>11574</v>
      </c>
      <c r="K3698">
        <f t="shared" si="57"/>
        <v>101.87975715066565</v>
      </c>
    </row>
    <row r="3699" spans="1:11" x14ac:dyDescent="0.2">
      <c r="A3699" t="s">
        <v>61</v>
      </c>
      <c r="B3699" t="s">
        <v>995</v>
      </c>
      <c r="C3699" t="s">
        <v>11575</v>
      </c>
      <c r="D3699" t="s">
        <v>11576</v>
      </c>
      <c r="E3699" t="s">
        <v>705</v>
      </c>
      <c r="F3699" t="s">
        <v>92</v>
      </c>
      <c r="G3699" t="s">
        <v>12</v>
      </c>
      <c r="H3699">
        <f>29904*(1.01^10)</f>
        <v>33032.620038296664</v>
      </c>
      <c r="I3699">
        <f>124591*(1.01^10)</f>
        <v>137625.97522710741</v>
      </c>
      <c r="J3699" t="s">
        <v>11577</v>
      </c>
      <c r="K3699">
        <f t="shared" si="57"/>
        <v>157.52609391018663</v>
      </c>
    </row>
    <row r="3700" spans="1:11" x14ac:dyDescent="0.2">
      <c r="A3700" t="s">
        <v>61</v>
      </c>
      <c r="B3700" t="s">
        <v>995</v>
      </c>
      <c r="C3700" t="s">
        <v>11578</v>
      </c>
      <c r="D3700" t="s">
        <v>11579</v>
      </c>
      <c r="E3700" t="s">
        <v>128</v>
      </c>
      <c r="F3700" t="s">
        <v>5</v>
      </c>
      <c r="G3700" t="s">
        <v>24</v>
      </c>
      <c r="H3700">
        <f>25647*(1.01^10)</f>
        <v>28330.243650421169</v>
      </c>
      <c r="I3700">
        <f>108911*(1.01^10)</f>
        <v>120305.50030065973</v>
      </c>
      <c r="J3700" t="s">
        <v>11580</v>
      </c>
      <c r="K3700">
        <f t="shared" si="57"/>
        <v>182.32105155570812</v>
      </c>
    </row>
    <row r="3701" spans="1:11" x14ac:dyDescent="0.2">
      <c r="A3701" t="s">
        <v>61</v>
      </c>
      <c r="B3701" t="s">
        <v>995</v>
      </c>
      <c r="C3701" t="s">
        <v>11581</v>
      </c>
      <c r="D3701" t="s">
        <v>11582</v>
      </c>
      <c r="E3701" t="s">
        <v>809</v>
      </c>
      <c r="F3701" t="s">
        <v>24</v>
      </c>
      <c r="G3701" t="s">
        <v>5</v>
      </c>
      <c r="H3701">
        <f>54761*(1.01^10)</f>
        <v>60490.212209642981</v>
      </c>
      <c r="I3701">
        <f>232871*(1.01^10)</f>
        <v>257234.45896663266</v>
      </c>
      <c r="J3701" t="s">
        <v>11583</v>
      </c>
      <c r="K3701">
        <f t="shared" si="57"/>
        <v>393.19281531786555</v>
      </c>
    </row>
    <row r="3702" spans="1:11" x14ac:dyDescent="0.2">
      <c r="A3702" t="s">
        <v>61</v>
      </c>
      <c r="B3702" t="s">
        <v>995</v>
      </c>
      <c r="C3702" t="s">
        <v>11584</v>
      </c>
      <c r="D3702" t="s">
        <v>11585</v>
      </c>
      <c r="E3702" t="s">
        <v>971</v>
      </c>
      <c r="F3702" t="s">
        <v>24</v>
      </c>
      <c r="G3702" t="s">
        <v>24</v>
      </c>
      <c r="H3702">
        <f>41661*(1.01^10)</f>
        <v>46019.662366756202</v>
      </c>
      <c r="I3702">
        <f>172823*(1.01^10)</f>
        <v>190904.10957994065</v>
      </c>
      <c r="J3702" t="s">
        <v>11586</v>
      </c>
      <c r="K3702">
        <f t="shared" si="57"/>
        <v>205.26727715812424</v>
      </c>
    </row>
    <row r="3703" spans="1:11" x14ac:dyDescent="0.2">
      <c r="A3703" t="s">
        <v>61</v>
      </c>
      <c r="B3703" t="s">
        <v>995</v>
      </c>
      <c r="C3703" t="s">
        <v>11587</v>
      </c>
      <c r="D3703" t="s">
        <v>11588</v>
      </c>
      <c r="E3703" t="s">
        <v>94</v>
      </c>
      <c r="F3703" t="s">
        <v>5</v>
      </c>
      <c r="G3703" t="s">
        <v>12</v>
      </c>
      <c r="H3703">
        <f>62538*(1.01^10)</f>
        <v>69080.858478965922</v>
      </c>
      <c r="I3703">
        <f>258322*(1.01^10)</f>
        <v>285348.19668047322</v>
      </c>
      <c r="J3703" t="s">
        <v>11589</v>
      </c>
      <c r="K3703">
        <f t="shared" si="57"/>
        <v>144.22056199752717</v>
      </c>
    </row>
    <row r="3704" spans="1:11" x14ac:dyDescent="0.2">
      <c r="A3704" t="s">
        <v>61</v>
      </c>
      <c r="B3704" t="s">
        <v>995</v>
      </c>
      <c r="C3704" t="s">
        <v>11590</v>
      </c>
      <c r="D3704" t="s">
        <v>11591</v>
      </c>
      <c r="E3704" t="s">
        <v>467</v>
      </c>
      <c r="F3704" t="s">
        <v>92</v>
      </c>
      <c r="G3704" t="s">
        <v>17</v>
      </c>
      <c r="H3704">
        <f>35635*(1.01^10)</f>
        <v>39363.20943902828</v>
      </c>
      <c r="I3704">
        <f>157387*(1.01^10)</f>
        <v>173853.16245209327</v>
      </c>
      <c r="J3704" t="s">
        <v>11592</v>
      </c>
      <c r="K3704">
        <f t="shared" si="57"/>
        <v>247.06574942538208</v>
      </c>
    </row>
    <row r="3705" spans="1:11" x14ac:dyDescent="0.2">
      <c r="A3705" t="s">
        <v>61</v>
      </c>
      <c r="B3705" t="s">
        <v>600</v>
      </c>
      <c r="C3705" t="s">
        <v>11593</v>
      </c>
      <c r="D3705" t="s">
        <v>11594</v>
      </c>
      <c r="E3705" t="s">
        <v>705</v>
      </c>
      <c r="F3705" t="s">
        <v>411</v>
      </c>
      <c r="G3705" t="s">
        <v>24</v>
      </c>
      <c r="H3705">
        <f>23290*(1.01^10)</f>
        <v>25726.649300826957</v>
      </c>
      <c r="I3705">
        <f>114176*(1.01^10)</f>
        <v>126121.33579094971</v>
      </c>
      <c r="J3705" t="s">
        <v>11595</v>
      </c>
      <c r="K3705">
        <f t="shared" si="57"/>
        <v>87.95950410428452</v>
      </c>
    </row>
    <row r="3706" spans="1:11" x14ac:dyDescent="0.2">
      <c r="A3706" t="s">
        <v>61</v>
      </c>
      <c r="B3706" t="s">
        <v>600</v>
      </c>
      <c r="C3706" t="s">
        <v>11596</v>
      </c>
      <c r="D3706" t="s">
        <v>11597</v>
      </c>
      <c r="E3706" t="s">
        <v>328</v>
      </c>
      <c r="F3706" t="s">
        <v>12</v>
      </c>
      <c r="G3706" t="s">
        <v>12</v>
      </c>
      <c r="H3706">
        <f>32929*(1.01^10)</f>
        <v>36374.101967665563</v>
      </c>
      <c r="I3706">
        <f>159063*(1.01^10)</f>
        <v>175704.50913428247</v>
      </c>
      <c r="J3706" t="s">
        <v>11598</v>
      </c>
      <c r="K3706">
        <f t="shared" si="57"/>
        <v>176.67205420625592</v>
      </c>
    </row>
    <row r="3707" spans="1:11" x14ac:dyDescent="0.2">
      <c r="A3707" t="s">
        <v>61</v>
      </c>
      <c r="B3707" t="s">
        <v>600</v>
      </c>
      <c r="C3707" t="s">
        <v>11599</v>
      </c>
      <c r="D3707" t="s">
        <v>11600</v>
      </c>
      <c r="E3707" t="s">
        <v>689</v>
      </c>
      <c r="F3707" t="s">
        <v>152</v>
      </c>
      <c r="G3707" t="s">
        <v>12</v>
      </c>
      <c r="H3707">
        <f>28629*(1.01^10)</f>
        <v>31624.226828397379</v>
      </c>
      <c r="I3707">
        <f>135188*(1.01^10)</f>
        <v>149331.65589008995</v>
      </c>
      <c r="J3707" t="s">
        <v>11601</v>
      </c>
      <c r="K3707">
        <f t="shared" si="57"/>
        <v>91.569807812334986</v>
      </c>
    </row>
    <row r="3708" spans="1:11" x14ac:dyDescent="0.2">
      <c r="A3708" t="s">
        <v>61</v>
      </c>
      <c r="B3708" t="s">
        <v>600</v>
      </c>
      <c r="C3708" t="s">
        <v>11602</v>
      </c>
      <c r="D3708" t="s">
        <v>11603</v>
      </c>
      <c r="E3708" t="s">
        <v>203</v>
      </c>
      <c r="F3708" t="s">
        <v>158</v>
      </c>
      <c r="G3708" t="s">
        <v>12</v>
      </c>
      <c r="H3708">
        <f>39489*(1.01^10)</f>
        <v>43620.423110363066</v>
      </c>
      <c r="I3708">
        <f>189470*(1.01^10)</f>
        <v>209292.75410166098</v>
      </c>
      <c r="J3708" t="s">
        <v>11604</v>
      </c>
      <c r="K3708">
        <f t="shared" si="57"/>
        <v>205.06169517079056</v>
      </c>
    </row>
    <row r="3709" spans="1:11" x14ac:dyDescent="0.2">
      <c r="A3709" t="s">
        <v>61</v>
      </c>
      <c r="B3709" t="s">
        <v>600</v>
      </c>
      <c r="C3709" t="s">
        <v>11605</v>
      </c>
      <c r="D3709" t="s">
        <v>11606</v>
      </c>
      <c r="E3709" t="s">
        <v>2623</v>
      </c>
      <c r="F3709" t="s">
        <v>24</v>
      </c>
      <c r="G3709" t="s">
        <v>5</v>
      </c>
      <c r="H3709">
        <f>49515*(1.01^10)</f>
        <v>54695.364539735805</v>
      </c>
      <c r="I3709">
        <f>240547*(1.01^10)</f>
        <v>265713.53840128909</v>
      </c>
      <c r="J3709" t="s">
        <v>11607</v>
      </c>
      <c r="K3709">
        <f t="shared" si="57"/>
        <v>181.04761517629939</v>
      </c>
    </row>
    <row r="3710" spans="1:11" x14ac:dyDescent="0.2">
      <c r="A3710" t="s">
        <v>61</v>
      </c>
      <c r="B3710" t="s">
        <v>600</v>
      </c>
      <c r="C3710" t="s">
        <v>11608</v>
      </c>
      <c r="D3710" t="s">
        <v>11609</v>
      </c>
      <c r="E3710" t="s">
        <v>2395</v>
      </c>
      <c r="F3710" t="s">
        <v>24</v>
      </c>
      <c r="G3710" t="s">
        <v>744</v>
      </c>
      <c r="H3710">
        <f>41582*(1.01^10)</f>
        <v>45932.397218848717</v>
      </c>
      <c r="I3710">
        <f>193536*(1.01^10)</f>
        <v>213784.14766358293</v>
      </c>
      <c r="J3710" t="s">
        <v>11610</v>
      </c>
      <c r="K3710">
        <f t="shared" si="57"/>
        <v>560.7237484677413</v>
      </c>
    </row>
    <row r="3711" spans="1:11" x14ac:dyDescent="0.2">
      <c r="A3711" t="s">
        <v>61</v>
      </c>
      <c r="B3711" t="s">
        <v>600</v>
      </c>
      <c r="C3711" t="s">
        <v>11611</v>
      </c>
      <c r="D3711" t="s">
        <v>11612</v>
      </c>
      <c r="E3711" t="s">
        <v>368</v>
      </c>
      <c r="F3711" t="s">
        <v>24</v>
      </c>
      <c r="G3711" t="s">
        <v>24</v>
      </c>
      <c r="H3711">
        <f>18419*(1.01^10)</f>
        <v>20346.034927948982</v>
      </c>
      <c r="I3711">
        <f>91457*(1.01^10)</f>
        <v>101025.42572373255</v>
      </c>
      <c r="J3711" t="s">
        <v>11613</v>
      </c>
      <c r="K3711">
        <f t="shared" si="57"/>
        <v>221.4517988806424</v>
      </c>
    </row>
    <row r="3712" spans="1:11" x14ac:dyDescent="0.2">
      <c r="A3712" t="s">
        <v>61</v>
      </c>
      <c r="B3712" t="s">
        <v>600</v>
      </c>
      <c r="C3712" t="s">
        <v>11614</v>
      </c>
      <c r="D3712" t="s">
        <v>11615</v>
      </c>
      <c r="E3712" t="s">
        <v>1912</v>
      </c>
      <c r="F3712" t="s">
        <v>24</v>
      </c>
      <c r="G3712" t="s">
        <v>17</v>
      </c>
      <c r="H3712">
        <f>71107*(1.01^10)</f>
        <v>78546.365471614539</v>
      </c>
      <c r="I3712">
        <f>337144*(1.01^10)</f>
        <v>372416.72184963519</v>
      </c>
      <c r="J3712" t="s">
        <v>11616</v>
      </c>
      <c r="K3712">
        <f t="shared" si="57"/>
        <v>594.119257116781</v>
      </c>
    </row>
    <row r="3713" spans="1:11" x14ac:dyDescent="0.2">
      <c r="A3713" t="s">
        <v>61</v>
      </c>
      <c r="B3713" t="s">
        <v>600</v>
      </c>
      <c r="C3713" t="s">
        <v>11617</v>
      </c>
      <c r="D3713" t="s">
        <v>11618</v>
      </c>
      <c r="E3713" t="s">
        <v>1227</v>
      </c>
      <c r="F3713" t="s">
        <v>12</v>
      </c>
      <c r="G3713" t="s">
        <v>24</v>
      </c>
      <c r="H3713">
        <f>34932*(1.01^10)</f>
        <v>38586.660084864205</v>
      </c>
      <c r="I3713">
        <f>168340*(1.01^10)</f>
        <v>185952.08859172222</v>
      </c>
      <c r="J3713" t="s">
        <v>11619</v>
      </c>
      <c r="K3713">
        <f t="shared" si="57"/>
        <v>187.33224949247312</v>
      </c>
    </row>
    <row r="3714" spans="1:11" x14ac:dyDescent="0.2">
      <c r="A3714" t="s">
        <v>61</v>
      </c>
      <c r="B3714" t="s">
        <v>600</v>
      </c>
      <c r="C3714" t="s">
        <v>11620</v>
      </c>
      <c r="D3714" t="s">
        <v>11621</v>
      </c>
      <c r="E3714" t="s">
        <v>1576</v>
      </c>
      <c r="F3714" t="s">
        <v>108</v>
      </c>
      <c r="G3714" t="s">
        <v>92</v>
      </c>
      <c r="H3714">
        <f>41871*(1.01^10)</f>
        <v>46251.633013092556</v>
      </c>
      <c r="I3714">
        <f>181692*(1.01^10)</f>
        <v>200701.0032102126</v>
      </c>
      <c r="J3714" t="s">
        <v>11622</v>
      </c>
      <c r="K3714">
        <f t="shared" si="57"/>
        <v>238.79214831902982</v>
      </c>
    </row>
    <row r="3715" spans="1:11" x14ac:dyDescent="0.2">
      <c r="A3715" t="s">
        <v>61</v>
      </c>
      <c r="B3715" t="s">
        <v>600</v>
      </c>
      <c r="C3715" t="s">
        <v>11623</v>
      </c>
      <c r="D3715" t="s">
        <v>11624</v>
      </c>
      <c r="E3715" t="s">
        <v>703</v>
      </c>
      <c r="F3715" t="s">
        <v>92</v>
      </c>
      <c r="G3715" t="s">
        <v>24</v>
      </c>
      <c r="H3715">
        <f>18635*(1.01^10)</f>
        <v>20584.633307037799</v>
      </c>
      <c r="I3715">
        <f>87691*(1.01^10)</f>
        <v>96865.418799433959</v>
      </c>
      <c r="J3715" t="s">
        <v>11625</v>
      </c>
      <c r="K3715">
        <f t="shared" ref="K3715:K3778" si="58">I3715/J3715</f>
        <v>123.70613428159307</v>
      </c>
    </row>
    <row r="3716" spans="1:11" x14ac:dyDescent="0.2">
      <c r="A3716" t="s">
        <v>61</v>
      </c>
      <c r="B3716" t="s">
        <v>600</v>
      </c>
      <c r="C3716" t="s">
        <v>11626</v>
      </c>
      <c r="D3716" t="s">
        <v>11627</v>
      </c>
      <c r="E3716" t="s">
        <v>1525</v>
      </c>
      <c r="F3716" t="s">
        <v>405</v>
      </c>
      <c r="G3716" t="s">
        <v>12</v>
      </c>
      <c r="H3716">
        <f>42963*(1.01^10)</f>
        <v>47457.88037404159</v>
      </c>
      <c r="I3716">
        <f>192618*(1.01^10)</f>
        <v>212770.10455245545</v>
      </c>
      <c r="J3716" t="s">
        <v>11628</v>
      </c>
      <c r="K3716">
        <f t="shared" si="58"/>
        <v>179.23539199621962</v>
      </c>
    </row>
    <row r="3717" spans="1:11" x14ac:dyDescent="0.2">
      <c r="A3717" t="s">
        <v>61</v>
      </c>
      <c r="B3717" t="s">
        <v>105</v>
      </c>
      <c r="C3717" t="s">
        <v>11629</v>
      </c>
      <c r="D3717" t="s">
        <v>11630</v>
      </c>
      <c r="E3717" t="s">
        <v>3221</v>
      </c>
      <c r="F3717" t="s">
        <v>24</v>
      </c>
      <c r="G3717" t="s">
        <v>12</v>
      </c>
      <c r="H3717">
        <f>47440*(1.01^10)</f>
        <v>52403.273629507552</v>
      </c>
      <c r="I3717">
        <f>208150*(1.01^10)</f>
        <v>229927.09540434228</v>
      </c>
      <c r="J3717" t="s">
        <v>11631</v>
      </c>
      <c r="K3717">
        <f t="shared" si="58"/>
        <v>155.24496805985393</v>
      </c>
    </row>
    <row r="3718" spans="1:11" x14ac:dyDescent="0.2">
      <c r="A3718" t="s">
        <v>61</v>
      </c>
      <c r="B3718" t="s">
        <v>105</v>
      </c>
      <c r="C3718" t="s">
        <v>11632</v>
      </c>
      <c r="D3718" t="s">
        <v>11633</v>
      </c>
      <c r="E3718" t="s">
        <v>467</v>
      </c>
      <c r="F3718" t="s">
        <v>24</v>
      </c>
      <c r="G3718" t="s">
        <v>12</v>
      </c>
      <c r="H3718">
        <f>28552*(1.01^10)</f>
        <v>31539.170924740716</v>
      </c>
      <c r="I3718">
        <f>123024*(1.01^10)</f>
        <v>135895.03235658805</v>
      </c>
      <c r="J3718" t="s">
        <v>11634</v>
      </c>
      <c r="K3718">
        <f t="shared" si="58"/>
        <v>150.76185476795331</v>
      </c>
    </row>
    <row r="3719" spans="1:11" x14ac:dyDescent="0.2">
      <c r="A3719" t="s">
        <v>61</v>
      </c>
      <c r="B3719" t="s">
        <v>105</v>
      </c>
      <c r="C3719" t="s">
        <v>11635</v>
      </c>
      <c r="D3719" t="s">
        <v>11636</v>
      </c>
      <c r="E3719" t="s">
        <v>1689</v>
      </c>
      <c r="F3719" t="s">
        <v>24</v>
      </c>
      <c r="G3719" t="s">
        <v>12</v>
      </c>
      <c r="H3719">
        <f>33092*(1.01^10)</f>
        <v>36554.155374107584</v>
      </c>
      <c r="I3719">
        <f>142662*(1.01^10)</f>
        <v>157587.60165541328</v>
      </c>
      <c r="J3719" t="s">
        <v>11637</v>
      </c>
      <c r="K3719">
        <f t="shared" si="58"/>
        <v>143.72241968186208</v>
      </c>
    </row>
    <row r="3720" spans="1:11" x14ac:dyDescent="0.2">
      <c r="A3720" t="s">
        <v>61</v>
      </c>
      <c r="B3720" t="s">
        <v>105</v>
      </c>
      <c r="C3720" t="s">
        <v>11638</v>
      </c>
      <c r="D3720" t="s">
        <v>11639</v>
      </c>
      <c r="E3720" t="s">
        <v>1215</v>
      </c>
      <c r="F3720" t="s">
        <v>24</v>
      </c>
      <c r="G3720" t="s">
        <v>24</v>
      </c>
      <c r="H3720">
        <f>19704*(1.01^10)</f>
        <v>21765.47435910238</v>
      </c>
      <c r="I3720">
        <f>85066*(1.01^10)</f>
        <v>93965.785720229542</v>
      </c>
      <c r="J3720" t="s">
        <v>11640</v>
      </c>
      <c r="K3720">
        <f t="shared" si="58"/>
        <v>171.43883781749901</v>
      </c>
    </row>
    <row r="3721" spans="1:11" x14ac:dyDescent="0.2">
      <c r="A3721" t="s">
        <v>61</v>
      </c>
      <c r="B3721" t="s">
        <v>105</v>
      </c>
      <c r="C3721" t="s">
        <v>11641</v>
      </c>
      <c r="D3721" t="s">
        <v>11642</v>
      </c>
      <c r="E3721" t="s">
        <v>1227</v>
      </c>
      <c r="F3721" t="s">
        <v>17</v>
      </c>
      <c r="G3721" t="s">
        <v>12</v>
      </c>
      <c r="H3721">
        <f>36737*(1.01^10)</f>
        <v>40580.50302123143</v>
      </c>
      <c r="I3721">
        <f>158200*(1.01^10)</f>
        <v>174751.22024005259</v>
      </c>
      <c r="J3721" t="s">
        <v>11643</v>
      </c>
      <c r="K3721">
        <f t="shared" si="58"/>
        <v>158.77420132796098</v>
      </c>
    </row>
    <row r="3722" spans="1:11" x14ac:dyDescent="0.2">
      <c r="A3722" t="s">
        <v>61</v>
      </c>
      <c r="B3722" t="s">
        <v>105</v>
      </c>
      <c r="C3722" t="s">
        <v>11644</v>
      </c>
      <c r="D3722" t="s">
        <v>813</v>
      </c>
      <c r="E3722" t="s">
        <v>5374</v>
      </c>
      <c r="F3722" t="s">
        <v>12</v>
      </c>
      <c r="G3722" t="s">
        <v>12</v>
      </c>
      <c r="H3722">
        <f>76246*(1.01^10)</f>
        <v>84223.018574102724</v>
      </c>
      <c r="I3722">
        <f>347498*(1.01^10)</f>
        <v>383853.97933614283</v>
      </c>
      <c r="J3722" t="s">
        <v>11645</v>
      </c>
      <c r="K3722">
        <f t="shared" si="58"/>
        <v>272.13996288083689</v>
      </c>
    </row>
    <row r="3723" spans="1:11" x14ac:dyDescent="0.2">
      <c r="A3723" t="s">
        <v>61</v>
      </c>
      <c r="B3723" t="s">
        <v>105</v>
      </c>
      <c r="C3723" t="s">
        <v>11646</v>
      </c>
      <c r="D3723" t="s">
        <v>11647</v>
      </c>
      <c r="E3723" t="s">
        <v>2777</v>
      </c>
      <c r="F3723" t="s">
        <v>17</v>
      </c>
      <c r="G3723" t="s">
        <v>12</v>
      </c>
      <c r="H3723">
        <f>46366*(1.01^10)</f>
        <v>51216.909466815916</v>
      </c>
      <c r="I3723">
        <f>197636*(1.01^10)</f>
        <v>218313.09837776885</v>
      </c>
      <c r="J3723" t="s">
        <v>11648</v>
      </c>
      <c r="K3723">
        <f t="shared" si="58"/>
        <v>276.71889079327747</v>
      </c>
    </row>
    <row r="3724" spans="1:11" x14ac:dyDescent="0.2">
      <c r="A3724" t="s">
        <v>61</v>
      </c>
      <c r="B3724" t="s">
        <v>105</v>
      </c>
      <c r="C3724" t="s">
        <v>11649</v>
      </c>
      <c r="D3724" t="s">
        <v>11650</v>
      </c>
      <c r="E3724" t="s">
        <v>971</v>
      </c>
      <c r="F3724" t="s">
        <v>11</v>
      </c>
      <c r="G3724" t="s">
        <v>24</v>
      </c>
      <c r="H3724">
        <f>26630*(1.01^10)</f>
        <v>29416.087199700381</v>
      </c>
      <c r="I3724">
        <f>116895*(1.01^10)</f>
        <v>129124.80334994278</v>
      </c>
      <c r="J3724" t="s">
        <v>11651</v>
      </c>
      <c r="K3724">
        <f t="shared" si="58"/>
        <v>90.239311104140739</v>
      </c>
    </row>
    <row r="3725" spans="1:11" x14ac:dyDescent="0.2">
      <c r="A3725" t="s">
        <v>61</v>
      </c>
      <c r="B3725" t="s">
        <v>2802</v>
      </c>
      <c r="C3725" t="s">
        <v>11652</v>
      </c>
      <c r="D3725" t="s">
        <v>11653</v>
      </c>
      <c r="E3725" t="s">
        <v>51</v>
      </c>
      <c r="F3725" t="s">
        <v>24</v>
      </c>
      <c r="G3725" t="s">
        <v>12</v>
      </c>
      <c r="H3725">
        <f>23702*(1.01^10)</f>
        <v>26181.753616496375</v>
      </c>
      <c r="I3725">
        <f>102594*(1.01^10)</f>
        <v>113327.60233443714</v>
      </c>
      <c r="J3725" t="s">
        <v>11654</v>
      </c>
      <c r="K3725">
        <f t="shared" si="58"/>
        <v>394.3993175226725</v>
      </c>
    </row>
    <row r="3726" spans="1:11" x14ac:dyDescent="0.2">
      <c r="A3726" t="s">
        <v>61</v>
      </c>
      <c r="B3726" t="s">
        <v>2802</v>
      </c>
      <c r="C3726" t="s">
        <v>11655</v>
      </c>
      <c r="D3726" t="s">
        <v>11656</v>
      </c>
      <c r="E3726" t="s">
        <v>137</v>
      </c>
      <c r="F3726" t="s">
        <v>152</v>
      </c>
      <c r="G3726" t="s">
        <v>12</v>
      </c>
      <c r="H3726">
        <f>19125*(1.01^10)</f>
        <v>21125.89814848929</v>
      </c>
      <c r="I3726">
        <f>79401*(1.01^10)</f>
        <v>87708.101379775064</v>
      </c>
      <c r="J3726" t="s">
        <v>11657</v>
      </c>
      <c r="K3726">
        <f t="shared" si="58"/>
        <v>208.47560437008016</v>
      </c>
    </row>
    <row r="3727" spans="1:11" x14ac:dyDescent="0.2">
      <c r="A3727" t="s">
        <v>61</v>
      </c>
      <c r="B3727" t="s">
        <v>2802</v>
      </c>
      <c r="C3727" t="s">
        <v>11658</v>
      </c>
      <c r="D3727" t="s">
        <v>11659</v>
      </c>
      <c r="E3727" t="s">
        <v>1054</v>
      </c>
      <c r="F3727" t="s">
        <v>17</v>
      </c>
      <c r="G3727" t="s">
        <v>12</v>
      </c>
      <c r="H3727">
        <f>41304*(1.01^10)</f>
        <v>45625.312267984402</v>
      </c>
      <c r="I3727">
        <f>176291*(1.01^10)</f>
        <v>194734.93911086669</v>
      </c>
      <c r="J3727" t="s">
        <v>11660</v>
      </c>
      <c r="K3727">
        <f t="shared" si="58"/>
        <v>330.03024059006316</v>
      </c>
    </row>
    <row r="3728" spans="1:11" x14ac:dyDescent="0.2">
      <c r="A3728" t="s">
        <v>61</v>
      </c>
      <c r="B3728" t="s">
        <v>2802</v>
      </c>
      <c r="C3728" t="s">
        <v>11661</v>
      </c>
      <c r="D3728" t="s">
        <v>11662</v>
      </c>
      <c r="E3728" t="s">
        <v>1195</v>
      </c>
      <c r="F3728" t="s">
        <v>11</v>
      </c>
      <c r="G3728" t="s">
        <v>24</v>
      </c>
      <c r="H3728">
        <f>36457*(1.01^10)</f>
        <v>40271.208826116293</v>
      </c>
      <c r="I3728">
        <f>147208*(1.01^10)</f>
        <v>162609.21383753262</v>
      </c>
      <c r="J3728" t="s">
        <v>11663</v>
      </c>
      <c r="K3728">
        <f t="shared" si="58"/>
        <v>349.8855046393914</v>
      </c>
    </row>
    <row r="3729" spans="1:11" x14ac:dyDescent="0.2">
      <c r="A3729" t="s">
        <v>61</v>
      </c>
      <c r="B3729" t="s">
        <v>2802</v>
      </c>
      <c r="C3729" t="s">
        <v>11664</v>
      </c>
      <c r="D3729" t="s">
        <v>11665</v>
      </c>
      <c r="E3729" t="s">
        <v>1617</v>
      </c>
      <c r="F3729" t="s">
        <v>11</v>
      </c>
      <c r="G3729" t="s">
        <v>12</v>
      </c>
      <c r="H3729">
        <f>40321*(1.01^10)</f>
        <v>44539.46871870519</v>
      </c>
      <c r="I3729">
        <f>170960*(1.01^10)</f>
        <v>188846.19856029956</v>
      </c>
      <c r="J3729" t="s">
        <v>11666</v>
      </c>
      <c r="K3729">
        <f t="shared" si="58"/>
        <v>302.31626806094442</v>
      </c>
    </row>
    <row r="3730" spans="1:11" x14ac:dyDescent="0.2">
      <c r="A3730" t="s">
        <v>61</v>
      </c>
      <c r="B3730" t="s">
        <v>2802</v>
      </c>
      <c r="C3730" t="s">
        <v>11667</v>
      </c>
      <c r="D3730" t="s">
        <v>11668</v>
      </c>
      <c r="E3730" t="s">
        <v>540</v>
      </c>
      <c r="F3730" t="s">
        <v>405</v>
      </c>
      <c r="G3730" t="s">
        <v>5</v>
      </c>
      <c r="H3730">
        <f>61278*(1.01^10)</f>
        <v>67689.034600947809</v>
      </c>
      <c r="I3730">
        <f>269352*(1.01^10)</f>
        <v>297532.17872375884</v>
      </c>
      <c r="J3730" t="s">
        <v>11669</v>
      </c>
      <c r="K3730">
        <f t="shared" si="58"/>
        <v>283.08145809181337</v>
      </c>
    </row>
    <row r="3731" spans="1:11" x14ac:dyDescent="0.2">
      <c r="A3731" t="s">
        <v>61</v>
      </c>
      <c r="B3731" t="s">
        <v>2802</v>
      </c>
      <c r="C3731" t="s">
        <v>11670</v>
      </c>
      <c r="D3731" t="s">
        <v>11671</v>
      </c>
      <c r="E3731" t="s">
        <v>386</v>
      </c>
      <c r="F3731" t="s">
        <v>411</v>
      </c>
      <c r="G3731" t="s">
        <v>12</v>
      </c>
      <c r="H3731">
        <f>39314*(1.01^10)</f>
        <v>43427.114238416107</v>
      </c>
      <c r="I3731">
        <f>175890*(1.01^10)</f>
        <v>194291.98563857679</v>
      </c>
      <c r="J3731" t="s">
        <v>11672</v>
      </c>
      <c r="K3731">
        <f t="shared" si="58"/>
        <v>220.50135126543941</v>
      </c>
    </row>
    <row r="3732" spans="1:11" x14ac:dyDescent="0.2">
      <c r="A3732" t="s">
        <v>61</v>
      </c>
      <c r="B3732" t="s">
        <v>2802</v>
      </c>
      <c r="C3732" t="s">
        <v>11673</v>
      </c>
      <c r="D3732" t="s">
        <v>11674</v>
      </c>
      <c r="E3732" t="s">
        <v>565</v>
      </c>
      <c r="F3732" t="s">
        <v>427</v>
      </c>
      <c r="G3732" t="s">
        <v>17</v>
      </c>
      <c r="H3732">
        <f>63910*(1.01^10)</f>
        <v>70596.400035030092</v>
      </c>
      <c r="I3732">
        <f>284352*(1.01^10)</f>
        <v>314101.51060492691</v>
      </c>
      <c r="J3732" t="s">
        <v>11675</v>
      </c>
      <c r="K3732">
        <f t="shared" si="58"/>
        <v>233.25837523942081</v>
      </c>
    </row>
    <row r="3733" spans="1:11" x14ac:dyDescent="0.2">
      <c r="A3733" t="s">
        <v>61</v>
      </c>
      <c r="B3733" t="s">
        <v>2802</v>
      </c>
      <c r="C3733" t="s">
        <v>11676</v>
      </c>
      <c r="D3733" t="s">
        <v>11677</v>
      </c>
      <c r="E3733" t="s">
        <v>151</v>
      </c>
      <c r="F3733" t="s">
        <v>405</v>
      </c>
      <c r="G3733" t="s">
        <v>12</v>
      </c>
      <c r="H3733">
        <f>24771*(1.01^10)</f>
        <v>27362.594668560952</v>
      </c>
      <c r="I3733">
        <f>108026*(1.01^10)</f>
        <v>119327.9097196708</v>
      </c>
      <c r="J3733" t="s">
        <v>11678</v>
      </c>
      <c r="K3733">
        <f t="shared" si="58"/>
        <v>44.484976557796749</v>
      </c>
    </row>
    <row r="3734" spans="1:11" x14ac:dyDescent="0.2">
      <c r="A3734" t="s">
        <v>61</v>
      </c>
      <c r="B3734" t="s">
        <v>2802</v>
      </c>
      <c r="C3734" t="s">
        <v>11679</v>
      </c>
      <c r="D3734" t="s">
        <v>11680</v>
      </c>
      <c r="E3734" t="s">
        <v>761</v>
      </c>
      <c r="F3734" t="s">
        <v>97</v>
      </c>
      <c r="G3734" t="s">
        <v>12</v>
      </c>
      <c r="H3734">
        <f>41654*(1.01^10)</f>
        <v>46011.930011878321</v>
      </c>
      <c r="I3734">
        <f>187624*(1.01^10)</f>
        <v>207253.62165815188</v>
      </c>
      <c r="J3734" t="s">
        <v>11681</v>
      </c>
      <c r="K3734">
        <f t="shared" si="58"/>
        <v>235.44421039999116</v>
      </c>
    </row>
    <row r="3735" spans="1:11" x14ac:dyDescent="0.2">
      <c r="A3735" t="s">
        <v>61</v>
      </c>
      <c r="B3735" t="s">
        <v>4751</v>
      </c>
      <c r="C3735" t="s">
        <v>11682</v>
      </c>
      <c r="D3735" t="s">
        <v>11683</v>
      </c>
      <c r="E3735" t="s">
        <v>3231</v>
      </c>
      <c r="F3735" t="s">
        <v>382</v>
      </c>
      <c r="G3735" t="s">
        <v>12</v>
      </c>
      <c r="H3735">
        <f>78839*(1.01^10)</f>
        <v>87087.303745293975</v>
      </c>
      <c r="I3735">
        <f>405393*(1.01^10)</f>
        <v>447806.07728682453</v>
      </c>
      <c r="J3735" t="s">
        <v>11684</v>
      </c>
      <c r="K3735">
        <f t="shared" si="58"/>
        <v>273.70234616767306</v>
      </c>
    </row>
    <row r="3736" spans="1:11" x14ac:dyDescent="0.2">
      <c r="A3736" t="s">
        <v>61</v>
      </c>
      <c r="B3736" t="s">
        <v>4751</v>
      </c>
      <c r="C3736" t="s">
        <v>11685</v>
      </c>
      <c r="D3736" t="s">
        <v>11686</v>
      </c>
      <c r="E3736" t="s">
        <v>139</v>
      </c>
      <c r="F3736" t="s">
        <v>374</v>
      </c>
      <c r="G3736" t="s">
        <v>24</v>
      </c>
      <c r="H3736">
        <f>33074*(1.01^10)</f>
        <v>36534.272175850187</v>
      </c>
      <c r="I3736">
        <f>172131*(1.01^10)</f>
        <v>190139.7110691561</v>
      </c>
      <c r="J3736" t="s">
        <v>11687</v>
      </c>
      <c r="K3736">
        <f t="shared" si="58"/>
        <v>122.68321685179546</v>
      </c>
    </row>
    <row r="3737" spans="1:11" x14ac:dyDescent="0.2">
      <c r="A3737" t="s">
        <v>61</v>
      </c>
      <c r="B3737" t="s">
        <v>4751</v>
      </c>
      <c r="C3737" t="s">
        <v>11688</v>
      </c>
      <c r="D3737" t="s">
        <v>11689</v>
      </c>
      <c r="E3737" t="s">
        <v>568</v>
      </c>
      <c r="F3737" t="s">
        <v>458</v>
      </c>
      <c r="G3737" t="s">
        <v>12</v>
      </c>
      <c r="H3737">
        <f>31879*(1.01^10)</f>
        <v>35214.248735983798</v>
      </c>
      <c r="I3737">
        <f>160397*(1.01^10)</f>
        <v>177178.07504958101</v>
      </c>
      <c r="J3737" t="s">
        <v>11690</v>
      </c>
      <c r="K3737">
        <f t="shared" si="58"/>
        <v>281.56058828708444</v>
      </c>
    </row>
    <row r="3738" spans="1:11" x14ac:dyDescent="0.2">
      <c r="A3738" t="s">
        <v>61</v>
      </c>
      <c r="B3738" t="s">
        <v>4751</v>
      </c>
      <c r="C3738" t="s">
        <v>11691</v>
      </c>
      <c r="D3738" t="s">
        <v>11692</v>
      </c>
      <c r="E3738" t="s">
        <v>809</v>
      </c>
      <c r="F3738" t="s">
        <v>382</v>
      </c>
      <c r="G3738" t="s">
        <v>24</v>
      </c>
      <c r="H3738">
        <f>24012*(1.01^10)</f>
        <v>26524.186475373848</v>
      </c>
      <c r="I3738">
        <f>117978*(1.01^10)</f>
        <v>130321.10911176311</v>
      </c>
      <c r="J3738" t="s">
        <v>11693</v>
      </c>
      <c r="K3738">
        <f t="shared" si="58"/>
        <v>211.07678538592072</v>
      </c>
    </row>
    <row r="3739" spans="1:11" x14ac:dyDescent="0.2">
      <c r="A3739" t="s">
        <v>61</v>
      </c>
      <c r="B3739" t="s">
        <v>4751</v>
      </c>
      <c r="C3739" t="s">
        <v>11694</v>
      </c>
      <c r="D3739" t="s">
        <v>11695</v>
      </c>
      <c r="E3739" t="s">
        <v>1446</v>
      </c>
      <c r="F3739" t="s">
        <v>17</v>
      </c>
      <c r="G3739" t="s">
        <v>12</v>
      </c>
      <c r="H3739">
        <f>23015*(1.01^10)</f>
        <v>25422.878216338879</v>
      </c>
      <c r="I3739">
        <f>118804*(1.01^10)</f>
        <v>131233.52698735276</v>
      </c>
      <c r="J3739" t="s">
        <v>11696</v>
      </c>
      <c r="K3739">
        <f t="shared" si="58"/>
        <v>213.52695979759224</v>
      </c>
    </row>
    <row r="3740" spans="1:11" x14ac:dyDescent="0.2">
      <c r="A3740" t="s">
        <v>61</v>
      </c>
      <c r="B3740" t="s">
        <v>4751</v>
      </c>
      <c r="C3740" t="s">
        <v>11697</v>
      </c>
      <c r="D3740" t="s">
        <v>11698</v>
      </c>
      <c r="E3740" t="s">
        <v>759</v>
      </c>
      <c r="F3740" t="s">
        <v>5</v>
      </c>
      <c r="G3740" t="s">
        <v>12</v>
      </c>
      <c r="H3740">
        <f>28123*(1.01^10)</f>
        <v>31065.288032939312</v>
      </c>
      <c r="I3740">
        <f>139428*(1.01^10)</f>
        <v>154015.25370183346</v>
      </c>
      <c r="J3740" t="s">
        <v>11699</v>
      </c>
      <c r="K3740">
        <f t="shared" si="58"/>
        <v>209.72366384387112</v>
      </c>
    </row>
    <row r="3741" spans="1:11" x14ac:dyDescent="0.2">
      <c r="A3741" t="s">
        <v>61</v>
      </c>
      <c r="B3741" t="s">
        <v>4751</v>
      </c>
      <c r="C3741" t="s">
        <v>11700</v>
      </c>
      <c r="D3741" t="s">
        <v>11701</v>
      </c>
      <c r="E3741" t="s">
        <v>2949</v>
      </c>
      <c r="F3741" t="s">
        <v>24</v>
      </c>
      <c r="G3741" t="s">
        <v>12</v>
      </c>
      <c r="H3741">
        <f>25459*(1.01^10)</f>
        <v>28122.574690843863</v>
      </c>
      <c r="I3741">
        <f>127388*(1.01^10)</f>
        <v>140715.60331188256</v>
      </c>
      <c r="J3741" t="s">
        <v>11702</v>
      </c>
      <c r="K3741">
        <f t="shared" si="58"/>
        <v>231.29061727375574</v>
      </c>
    </row>
    <row r="3742" spans="1:11" x14ac:dyDescent="0.2">
      <c r="A3742" t="s">
        <v>61</v>
      </c>
      <c r="B3742" t="s">
        <v>11703</v>
      </c>
      <c r="C3742" t="s">
        <v>11704</v>
      </c>
      <c r="D3742" t="s">
        <v>11705</v>
      </c>
      <c r="E3742" t="s">
        <v>418</v>
      </c>
      <c r="F3742" t="s">
        <v>108</v>
      </c>
      <c r="G3742" t="s">
        <v>12</v>
      </c>
      <c r="H3742">
        <f>35798*(1.01^10)</f>
        <v>39543.262845470308</v>
      </c>
      <c r="I3742">
        <f>176249*(1.01^10)</f>
        <v>194688.54498159944</v>
      </c>
      <c r="J3742" t="s">
        <v>11706</v>
      </c>
      <c r="K3742">
        <f t="shared" si="58"/>
        <v>170.1565489175546</v>
      </c>
    </row>
    <row r="3743" spans="1:11" x14ac:dyDescent="0.2">
      <c r="A3743" t="s">
        <v>61</v>
      </c>
      <c r="B3743" t="s">
        <v>11703</v>
      </c>
      <c r="C3743" t="s">
        <v>11707</v>
      </c>
      <c r="D3743" t="s">
        <v>11708</v>
      </c>
      <c r="E3743" t="s">
        <v>1295</v>
      </c>
      <c r="F3743" t="s">
        <v>103</v>
      </c>
      <c r="G3743" t="s">
        <v>12</v>
      </c>
      <c r="H3743">
        <f>34114*(1.01^10)</f>
        <v>37683.079186277842</v>
      </c>
      <c r="I3743">
        <f>158330*(1.01^10)</f>
        <v>174894.82111635603</v>
      </c>
      <c r="J3743" t="s">
        <v>11709</v>
      </c>
      <c r="K3743">
        <f t="shared" si="58"/>
        <v>172.31030218104942</v>
      </c>
    </row>
    <row r="3744" spans="1:11" x14ac:dyDescent="0.2">
      <c r="A3744" t="s">
        <v>61</v>
      </c>
      <c r="B3744" t="s">
        <v>11703</v>
      </c>
      <c r="C3744" t="s">
        <v>11710</v>
      </c>
      <c r="D3744" t="s">
        <v>11711</v>
      </c>
      <c r="E3744" t="s">
        <v>486</v>
      </c>
      <c r="F3744" t="s">
        <v>6</v>
      </c>
      <c r="G3744" t="s">
        <v>12</v>
      </c>
      <c r="H3744">
        <f>43052*(1.01^10)</f>
        <v>47556.191743203184</v>
      </c>
      <c r="I3744">
        <f>215267*(1.01^10)</f>
        <v>237788.69107089381</v>
      </c>
      <c r="J3744" t="s">
        <v>11712</v>
      </c>
      <c r="K3744">
        <f t="shared" si="58"/>
        <v>277.41461119675358</v>
      </c>
    </row>
    <row r="3745" spans="1:11" x14ac:dyDescent="0.2">
      <c r="A3745" t="s">
        <v>61</v>
      </c>
      <c r="B3745" t="s">
        <v>11703</v>
      </c>
      <c r="C3745" t="s">
        <v>11713</v>
      </c>
      <c r="D3745" t="s">
        <v>11714</v>
      </c>
      <c r="E3745" t="s">
        <v>611</v>
      </c>
      <c r="F3745" t="s">
        <v>108</v>
      </c>
      <c r="G3745" t="s">
        <v>24</v>
      </c>
      <c r="H3745">
        <f>15295*(1.01^10)</f>
        <v>16895.195408164378</v>
      </c>
      <c r="I3745">
        <f>73653*(1.01^10)</f>
        <v>81358.733402911457</v>
      </c>
      <c r="J3745" t="s">
        <v>11715</v>
      </c>
      <c r="K3745">
        <f t="shared" si="58"/>
        <v>206.78628545693147</v>
      </c>
    </row>
    <row r="3746" spans="1:11" x14ac:dyDescent="0.2">
      <c r="A3746" t="s">
        <v>61</v>
      </c>
      <c r="B3746" t="s">
        <v>11703</v>
      </c>
      <c r="C3746" t="s">
        <v>11716</v>
      </c>
      <c r="D3746" t="s">
        <v>11717</v>
      </c>
      <c r="E3746" t="s">
        <v>2726</v>
      </c>
      <c r="F3746" t="s">
        <v>422</v>
      </c>
      <c r="G3746" t="s">
        <v>12</v>
      </c>
      <c r="H3746">
        <f>44421*(1.01^10)</f>
        <v>49068.419432891125</v>
      </c>
      <c r="I3746">
        <f>221572*(1.01^10)</f>
        <v>244753.33357161147</v>
      </c>
      <c r="J3746" t="s">
        <v>11718</v>
      </c>
      <c r="K3746">
        <f t="shared" si="58"/>
        <v>193.59825417354111</v>
      </c>
    </row>
    <row r="3747" spans="1:11" x14ac:dyDescent="0.2">
      <c r="A3747" t="s">
        <v>61</v>
      </c>
      <c r="B3747" t="s">
        <v>1662</v>
      </c>
      <c r="C3747" t="s">
        <v>11719</v>
      </c>
      <c r="D3747" t="s">
        <v>11720</v>
      </c>
      <c r="E3747" t="s">
        <v>1233</v>
      </c>
      <c r="F3747" t="s">
        <v>411</v>
      </c>
      <c r="G3747" t="s">
        <v>17</v>
      </c>
      <c r="H3747">
        <f>50700*(1.01^10)</f>
        <v>56004.341758348084</v>
      </c>
      <c r="I3747">
        <f>223347*(1.01^10)</f>
        <v>246714.03784421633</v>
      </c>
      <c r="J3747" t="s">
        <v>11721</v>
      </c>
      <c r="K3747">
        <f t="shared" si="58"/>
        <v>202.0618047310835</v>
      </c>
    </row>
    <row r="3748" spans="1:11" x14ac:dyDescent="0.2">
      <c r="A3748" t="s">
        <v>61</v>
      </c>
      <c r="B3748" t="s">
        <v>1662</v>
      </c>
      <c r="C3748" t="s">
        <v>11722</v>
      </c>
      <c r="D3748" t="s">
        <v>11723</v>
      </c>
      <c r="E3748" t="s">
        <v>814</v>
      </c>
      <c r="F3748" t="s">
        <v>92</v>
      </c>
      <c r="G3748" t="s">
        <v>12</v>
      </c>
      <c r="H3748">
        <f>48275*(1.01^10)</f>
        <v>53325.633104225912</v>
      </c>
      <c r="I3748">
        <f>193294*(1.01^10)</f>
        <v>213516.8291092334</v>
      </c>
      <c r="J3748" t="s">
        <v>11724</v>
      </c>
      <c r="K3748">
        <f t="shared" si="58"/>
        <v>127.65341719927552</v>
      </c>
    </row>
    <row r="3749" spans="1:11" x14ac:dyDescent="0.2">
      <c r="A3749" t="s">
        <v>61</v>
      </c>
      <c r="B3749" t="s">
        <v>1662</v>
      </c>
      <c r="C3749" t="s">
        <v>11725</v>
      </c>
      <c r="D3749" t="s">
        <v>11510</v>
      </c>
      <c r="E3749" t="s">
        <v>1094</v>
      </c>
      <c r="F3749" t="s">
        <v>6</v>
      </c>
      <c r="G3749" t="s">
        <v>92</v>
      </c>
      <c r="H3749">
        <f>111421*(1.01^10)</f>
        <v>123078.10183544185</v>
      </c>
      <c r="I3749">
        <f>486930*(1.01^10)</f>
        <v>537873.65152647789</v>
      </c>
      <c r="J3749" t="s">
        <v>11726</v>
      </c>
      <c r="K3749">
        <f t="shared" si="58"/>
        <v>272.19190638585042</v>
      </c>
    </row>
    <row r="3750" spans="1:11" x14ac:dyDescent="0.2">
      <c r="A3750" t="s">
        <v>61</v>
      </c>
      <c r="B3750" t="s">
        <v>1662</v>
      </c>
      <c r="C3750" t="s">
        <v>11727</v>
      </c>
      <c r="D3750" t="s">
        <v>11728</v>
      </c>
      <c r="E3750" t="s">
        <v>203</v>
      </c>
      <c r="F3750" t="s">
        <v>12</v>
      </c>
      <c r="G3750" t="s">
        <v>24</v>
      </c>
      <c r="H3750">
        <f>41056*(1.01^10)</f>
        <v>45351.365980882423</v>
      </c>
      <c r="I3750">
        <f>162492*(1.01^10)</f>
        <v>179492.25840231747</v>
      </c>
      <c r="J3750" t="s">
        <v>11729</v>
      </c>
      <c r="K3750">
        <f t="shared" si="58"/>
        <v>134.41942109444125</v>
      </c>
    </row>
    <row r="3751" spans="1:11" x14ac:dyDescent="0.2">
      <c r="A3751" t="s">
        <v>61</v>
      </c>
      <c r="B3751" t="s">
        <v>11730</v>
      </c>
      <c r="C3751" t="s">
        <v>11731</v>
      </c>
      <c r="D3751" t="s">
        <v>11732</v>
      </c>
      <c r="E3751" t="s">
        <v>537</v>
      </c>
      <c r="F3751" t="s">
        <v>24</v>
      </c>
      <c r="G3751" t="s">
        <v>17</v>
      </c>
      <c r="H3751">
        <f>27538*(1.01^10)</f>
        <v>30419.084089573757</v>
      </c>
      <c r="I3751">
        <f>120533*(1.01^10)</f>
        <v>133143.41864218874</v>
      </c>
      <c r="J3751" t="s">
        <v>11733</v>
      </c>
      <c r="K3751">
        <f t="shared" si="58"/>
        <v>156.93102312791865</v>
      </c>
    </row>
    <row r="3752" spans="1:11" x14ac:dyDescent="0.2">
      <c r="A3752" t="s">
        <v>61</v>
      </c>
      <c r="B3752" t="s">
        <v>11730</v>
      </c>
      <c r="C3752" t="s">
        <v>11734</v>
      </c>
      <c r="D3752" t="s">
        <v>11735</v>
      </c>
      <c r="E3752" t="s">
        <v>1525</v>
      </c>
      <c r="F3752" t="s">
        <v>92</v>
      </c>
      <c r="G3752" t="s">
        <v>744</v>
      </c>
      <c r="H3752">
        <f>68853*(1.01^10)</f>
        <v>76056.547200937683</v>
      </c>
      <c r="I3752">
        <f>305877*(1.01^10)</f>
        <v>337878.50185440306</v>
      </c>
      <c r="J3752" t="s">
        <v>5241</v>
      </c>
      <c r="K3752">
        <f t="shared" si="58"/>
        <v>532.09212890457172</v>
      </c>
    </row>
    <row r="3753" spans="1:11" x14ac:dyDescent="0.2">
      <c r="A3753" t="s">
        <v>61</v>
      </c>
      <c r="B3753" t="s">
        <v>11730</v>
      </c>
      <c r="C3753" t="s">
        <v>11736</v>
      </c>
      <c r="D3753" t="s">
        <v>11737</v>
      </c>
      <c r="E3753" t="s">
        <v>998</v>
      </c>
      <c r="F3753" t="s">
        <v>24</v>
      </c>
      <c r="G3753" t="s">
        <v>12</v>
      </c>
      <c r="H3753">
        <f>21345*(1.01^10)</f>
        <v>23578.159266902167</v>
      </c>
      <c r="I3753">
        <f>92822*(1.01^10)</f>
        <v>102533.23492491884</v>
      </c>
      <c r="J3753" t="s">
        <v>11738</v>
      </c>
      <c r="K3753">
        <f t="shared" si="58"/>
        <v>198.39811401377315</v>
      </c>
    </row>
    <row r="3754" spans="1:11" x14ac:dyDescent="0.2">
      <c r="A3754" t="s">
        <v>61</v>
      </c>
      <c r="B3754" t="s">
        <v>11730</v>
      </c>
      <c r="C3754" t="s">
        <v>11739</v>
      </c>
      <c r="D3754" t="s">
        <v>11740</v>
      </c>
      <c r="E3754" t="s">
        <v>754</v>
      </c>
      <c r="F3754" t="s">
        <v>5</v>
      </c>
      <c r="G3754" t="s">
        <v>12</v>
      </c>
      <c r="H3754">
        <f>52979*(1.01^10)</f>
        <v>58521.775582160219</v>
      </c>
      <c r="I3754">
        <f>230005*(1.01^10)</f>
        <v>254068.61195520413</v>
      </c>
      <c r="J3754" t="s">
        <v>11741</v>
      </c>
      <c r="K3754">
        <f t="shared" si="58"/>
        <v>145.45020619579208</v>
      </c>
    </row>
    <row r="3755" spans="1:11" x14ac:dyDescent="0.2">
      <c r="A3755" t="s">
        <v>61</v>
      </c>
      <c r="B3755" t="s">
        <v>2075</v>
      </c>
      <c r="C3755" t="s">
        <v>11742</v>
      </c>
      <c r="D3755" t="s">
        <v>11743</v>
      </c>
      <c r="E3755" t="s">
        <v>703</v>
      </c>
      <c r="F3755" t="s">
        <v>24</v>
      </c>
      <c r="G3755" t="s">
        <v>12</v>
      </c>
      <c r="H3755">
        <f>44366*(1.01^10)</f>
        <v>49007.665215993511</v>
      </c>
      <c r="I3755">
        <f>206392*(1.01^10)</f>
        <v>227985.16970786938</v>
      </c>
      <c r="J3755" t="s">
        <v>11744</v>
      </c>
      <c r="K3755">
        <f t="shared" si="58"/>
        <v>354.77790312008108</v>
      </c>
    </row>
    <row r="3756" spans="1:11" x14ac:dyDescent="0.2">
      <c r="A3756" t="s">
        <v>61</v>
      </c>
      <c r="B3756" t="s">
        <v>2075</v>
      </c>
      <c r="C3756" t="s">
        <v>11745</v>
      </c>
      <c r="D3756" t="s">
        <v>11746</v>
      </c>
      <c r="E3756" t="s">
        <v>282</v>
      </c>
      <c r="F3756" t="s">
        <v>6</v>
      </c>
      <c r="G3756" t="s">
        <v>12</v>
      </c>
      <c r="H3756">
        <f>24275*(1.01^10)</f>
        <v>26814.702094356995</v>
      </c>
      <c r="I3756">
        <f>117090*(1.01^10)</f>
        <v>129340.20466439797</v>
      </c>
      <c r="J3756" t="s">
        <v>11747</v>
      </c>
      <c r="K3756">
        <f t="shared" si="58"/>
        <v>384.45354327945745</v>
      </c>
    </row>
    <row r="3757" spans="1:11" x14ac:dyDescent="0.2">
      <c r="A3757" t="s">
        <v>61</v>
      </c>
      <c r="B3757" t="s">
        <v>2075</v>
      </c>
      <c r="C3757" t="s">
        <v>11748</v>
      </c>
      <c r="D3757" t="s">
        <v>11749</v>
      </c>
      <c r="E3757" t="s">
        <v>740</v>
      </c>
      <c r="F3757" t="s">
        <v>24</v>
      </c>
      <c r="G3757" t="s">
        <v>12</v>
      </c>
      <c r="H3757">
        <f>57704*(1.01^10)</f>
        <v>63741.11512472816</v>
      </c>
      <c r="I3757">
        <f>289481*(1.01^10)</f>
        <v>319767.11748616095</v>
      </c>
      <c r="J3757" t="s">
        <v>11750</v>
      </c>
      <c r="K3757">
        <f t="shared" si="58"/>
        <v>363.49431708910146</v>
      </c>
    </row>
    <row r="3758" spans="1:11" x14ac:dyDescent="0.2">
      <c r="A3758" t="s">
        <v>61</v>
      </c>
      <c r="B3758" t="s">
        <v>2075</v>
      </c>
      <c r="C3758" t="s">
        <v>11751</v>
      </c>
      <c r="D3758" t="s">
        <v>11752</v>
      </c>
      <c r="E3758" t="s">
        <v>1893</v>
      </c>
      <c r="F3758" t="s">
        <v>318</v>
      </c>
      <c r="G3758" t="s">
        <v>24</v>
      </c>
      <c r="H3758">
        <f>54479*(1.01^10)</f>
        <v>60178.708770277022</v>
      </c>
      <c r="I3758">
        <f>268934*(1.01^10)</f>
        <v>297070.44667533692</v>
      </c>
      <c r="J3758" t="s">
        <v>11753</v>
      </c>
      <c r="K3758">
        <f t="shared" si="58"/>
        <v>384.00810140900506</v>
      </c>
    </row>
    <row r="3759" spans="1:11" x14ac:dyDescent="0.2">
      <c r="A3759" t="s">
        <v>61</v>
      </c>
      <c r="B3759" t="s">
        <v>2075</v>
      </c>
      <c r="C3759" t="s">
        <v>11754</v>
      </c>
      <c r="D3759" t="s">
        <v>11755</v>
      </c>
      <c r="E3759" t="s">
        <v>1912</v>
      </c>
      <c r="F3759" t="s">
        <v>11</v>
      </c>
      <c r="G3759" t="s">
        <v>12</v>
      </c>
      <c r="H3759">
        <f>38548*(1.01^10)</f>
        <v>42580.973690351122</v>
      </c>
      <c r="I3759">
        <f>163877*(1.01^10)</f>
        <v>181022.160046012</v>
      </c>
      <c r="J3759" t="s">
        <v>11756</v>
      </c>
      <c r="K3759">
        <f t="shared" si="58"/>
        <v>255.24170456853133</v>
      </c>
    </row>
    <row r="3760" spans="1:11" x14ac:dyDescent="0.2">
      <c r="A3760" t="s">
        <v>61</v>
      </c>
      <c r="B3760" t="s">
        <v>2075</v>
      </c>
      <c r="C3760" t="s">
        <v>11757</v>
      </c>
      <c r="D3760" t="s">
        <v>11758</v>
      </c>
      <c r="E3760" t="s">
        <v>390</v>
      </c>
      <c r="F3760" t="s">
        <v>158</v>
      </c>
      <c r="G3760" t="s">
        <v>24</v>
      </c>
      <c r="H3760">
        <f>19076*(1.01^10)</f>
        <v>21071.771664344142</v>
      </c>
      <c r="I3760">
        <f>81259*(1.01^10)</f>
        <v>89760.489288789089</v>
      </c>
      <c r="J3760" t="s">
        <v>11759</v>
      </c>
      <c r="K3760">
        <f t="shared" si="58"/>
        <v>59.46576194542471</v>
      </c>
    </row>
    <row r="3761" spans="1:11" x14ac:dyDescent="0.2">
      <c r="A3761" t="s">
        <v>61</v>
      </c>
      <c r="B3761" t="s">
        <v>595</v>
      </c>
      <c r="C3761" t="s">
        <v>11760</v>
      </c>
      <c r="D3761" t="s">
        <v>11761</v>
      </c>
      <c r="E3761" t="s">
        <v>1200</v>
      </c>
      <c r="F3761" t="s">
        <v>92</v>
      </c>
      <c r="G3761" t="s">
        <v>12</v>
      </c>
      <c r="H3761">
        <f>67425*(1.01^10)</f>
        <v>74479.146805850483</v>
      </c>
      <c r="I3761">
        <f>336713*(1.01^10)</f>
        <v>371940.62971358298</v>
      </c>
      <c r="J3761" t="s">
        <v>11762</v>
      </c>
      <c r="K3761">
        <f t="shared" si="58"/>
        <v>191.33150785521892</v>
      </c>
    </row>
    <row r="3762" spans="1:11" x14ac:dyDescent="0.2">
      <c r="A3762" t="s">
        <v>61</v>
      </c>
      <c r="B3762" t="s">
        <v>595</v>
      </c>
      <c r="C3762" t="s">
        <v>11763</v>
      </c>
      <c r="D3762" t="s">
        <v>11764</v>
      </c>
      <c r="E3762" t="s">
        <v>139</v>
      </c>
      <c r="F3762" t="s">
        <v>17</v>
      </c>
      <c r="G3762" t="s">
        <v>24</v>
      </c>
      <c r="H3762">
        <f>69398*(1.01^10)</f>
        <v>76658.566259286788</v>
      </c>
      <c r="I3762">
        <f>324363*(1.01^10)</f>
        <v>358298.54646475462</v>
      </c>
      <c r="J3762" t="s">
        <v>11765</v>
      </c>
      <c r="K3762">
        <f t="shared" si="58"/>
        <v>196.59026279643359</v>
      </c>
    </row>
    <row r="3763" spans="1:11" x14ac:dyDescent="0.2">
      <c r="A3763" t="s">
        <v>61</v>
      </c>
      <c r="B3763" t="s">
        <v>595</v>
      </c>
      <c r="C3763" t="s">
        <v>11766</v>
      </c>
      <c r="D3763" t="s">
        <v>11767</v>
      </c>
      <c r="E3763" t="s">
        <v>624</v>
      </c>
      <c r="F3763" t="s">
        <v>405</v>
      </c>
      <c r="G3763" t="s">
        <v>12</v>
      </c>
      <c r="H3763">
        <f>107102*(1.01^10)</f>
        <v>118307.23887579085</v>
      </c>
      <c r="I3763">
        <f>517197*(1.01^10)</f>
        <v>571307.2493962989</v>
      </c>
      <c r="J3763" t="s">
        <v>11768</v>
      </c>
      <c r="K3763">
        <f t="shared" si="58"/>
        <v>299.35228051530083</v>
      </c>
    </row>
    <row r="3764" spans="1:11" x14ac:dyDescent="0.2">
      <c r="A3764" t="s">
        <v>61</v>
      </c>
      <c r="B3764" t="s">
        <v>629</v>
      </c>
      <c r="C3764" t="s">
        <v>11769</v>
      </c>
      <c r="D3764" t="s">
        <v>11770</v>
      </c>
      <c r="E3764" t="s">
        <v>436</v>
      </c>
      <c r="F3764" t="s">
        <v>24</v>
      </c>
      <c r="G3764" t="s">
        <v>12</v>
      </c>
      <c r="H3764">
        <f>34456*(1.01^10)</f>
        <v>38060.859953168474</v>
      </c>
      <c r="I3764">
        <f>182362*(1.01^10)</f>
        <v>201441.10003423813</v>
      </c>
      <c r="J3764" t="s">
        <v>11771</v>
      </c>
      <c r="K3764">
        <f t="shared" si="58"/>
        <v>353.164307207712</v>
      </c>
    </row>
    <row r="3765" spans="1:11" x14ac:dyDescent="0.2">
      <c r="A3765" t="s">
        <v>61</v>
      </c>
      <c r="B3765" t="s">
        <v>629</v>
      </c>
      <c r="C3765" t="s">
        <v>11772</v>
      </c>
      <c r="D3765" t="s">
        <v>11773</v>
      </c>
      <c r="E3765" t="s">
        <v>1974</v>
      </c>
      <c r="F3765" t="s">
        <v>77</v>
      </c>
      <c r="G3765" t="s">
        <v>12</v>
      </c>
      <c r="H3765">
        <f>46446*(1.01^10)</f>
        <v>51305.279236848815</v>
      </c>
      <c r="I3765">
        <f>232800*(1.01^10)</f>
        <v>257156.03079572847</v>
      </c>
      <c r="J3765" t="s">
        <v>11774</v>
      </c>
      <c r="K3765">
        <f t="shared" si="58"/>
        <v>257.55732164362269</v>
      </c>
    </row>
    <row r="3766" spans="1:11" x14ac:dyDescent="0.2">
      <c r="A3766" t="s">
        <v>61</v>
      </c>
      <c r="B3766" t="s">
        <v>629</v>
      </c>
      <c r="C3766" t="s">
        <v>11775</v>
      </c>
      <c r="D3766" t="s">
        <v>11776</v>
      </c>
      <c r="E3766" t="s">
        <v>1303</v>
      </c>
      <c r="F3766" t="s">
        <v>24</v>
      </c>
      <c r="G3766" t="s">
        <v>12</v>
      </c>
      <c r="H3766">
        <f>30528*(1.01^10)</f>
        <v>33721.904244553261</v>
      </c>
      <c r="I3766">
        <f>171944*(1.01^10)</f>
        <v>189933.14673170418</v>
      </c>
      <c r="J3766" t="s">
        <v>11777</v>
      </c>
      <c r="K3766">
        <f t="shared" si="58"/>
        <v>359.53077116976402</v>
      </c>
    </row>
    <row r="3767" spans="1:11" x14ac:dyDescent="0.2">
      <c r="A3767" t="s">
        <v>61</v>
      </c>
      <c r="B3767" t="s">
        <v>629</v>
      </c>
      <c r="C3767" t="s">
        <v>11778</v>
      </c>
      <c r="D3767" t="s">
        <v>11779</v>
      </c>
      <c r="E3767" t="s">
        <v>2417</v>
      </c>
      <c r="F3767" t="s">
        <v>92</v>
      </c>
      <c r="G3767" t="s">
        <v>12</v>
      </c>
      <c r="H3767">
        <f>60299*(1.01^10)</f>
        <v>66607.609540170233</v>
      </c>
      <c r="I3767">
        <f>323204*(1.01^10)</f>
        <v>357018.28942140302</v>
      </c>
      <c r="J3767" t="s">
        <v>11780</v>
      </c>
      <c r="K3767">
        <f t="shared" si="58"/>
        <v>328.48104252104093</v>
      </c>
    </row>
    <row r="3768" spans="1:11" x14ac:dyDescent="0.2">
      <c r="A3768" t="s">
        <v>61</v>
      </c>
      <c r="B3768" t="s">
        <v>629</v>
      </c>
      <c r="C3768" t="s">
        <v>11781</v>
      </c>
      <c r="D3768" t="s">
        <v>11782</v>
      </c>
      <c r="E3768" t="s">
        <v>36</v>
      </c>
      <c r="F3768" t="s">
        <v>24</v>
      </c>
      <c r="G3768" t="s">
        <v>12</v>
      </c>
      <c r="H3768">
        <f>22428*(1.01^10)</f>
        <v>24774.465028722501</v>
      </c>
      <c r="I3768">
        <f>114738*(1.01^10)</f>
        <v>126742.13342543082</v>
      </c>
      <c r="J3768" t="s">
        <v>11783</v>
      </c>
      <c r="K3768">
        <f t="shared" si="58"/>
        <v>304.66176356601937</v>
      </c>
    </row>
    <row r="3769" spans="1:11" x14ac:dyDescent="0.2">
      <c r="A3769" t="s">
        <v>61</v>
      </c>
      <c r="B3769" t="s">
        <v>3041</v>
      </c>
      <c r="C3769" t="s">
        <v>11784</v>
      </c>
      <c r="D3769" t="s">
        <v>11785</v>
      </c>
      <c r="E3769" t="s">
        <v>180</v>
      </c>
      <c r="F3769" t="s">
        <v>24</v>
      </c>
      <c r="G3769" t="s">
        <v>12</v>
      </c>
      <c r="H3769">
        <f>17370*(1.01^10)</f>
        <v>19187.286318392627</v>
      </c>
      <c r="I3769">
        <f>91101*(1.01^10)</f>
        <v>100632.18024708616</v>
      </c>
      <c r="J3769" t="s">
        <v>11786</v>
      </c>
      <c r="K3769">
        <f t="shared" si="58"/>
        <v>301.9604213298428</v>
      </c>
    </row>
    <row r="3770" spans="1:11" x14ac:dyDescent="0.2">
      <c r="A3770" t="s">
        <v>61</v>
      </c>
      <c r="B3770" t="s">
        <v>3041</v>
      </c>
      <c r="C3770" t="s">
        <v>11787</v>
      </c>
      <c r="D3770" t="s">
        <v>11788</v>
      </c>
      <c r="E3770" t="s">
        <v>1446</v>
      </c>
      <c r="F3770" t="s">
        <v>12</v>
      </c>
      <c r="G3770" t="s">
        <v>12</v>
      </c>
      <c r="H3770">
        <f>31756*(1.01^10)</f>
        <v>35078.380214558216</v>
      </c>
      <c r="I3770">
        <f>191404*(1.01^10)</f>
        <v>211429.09329220623</v>
      </c>
      <c r="J3770" t="s">
        <v>11789</v>
      </c>
      <c r="K3770">
        <f t="shared" si="58"/>
        <v>297.48213641511262</v>
      </c>
    </row>
    <row r="3771" spans="1:11" x14ac:dyDescent="0.2">
      <c r="A3771" t="s">
        <v>61</v>
      </c>
      <c r="B3771" t="s">
        <v>3041</v>
      </c>
      <c r="C3771" t="s">
        <v>11790</v>
      </c>
      <c r="D3771" t="s">
        <v>11791</v>
      </c>
      <c r="E3771" t="s">
        <v>2290</v>
      </c>
      <c r="F3771" t="s">
        <v>5</v>
      </c>
      <c r="G3771" t="s">
        <v>17</v>
      </c>
      <c r="H3771">
        <f>74674*(1.01^10)</f>
        <v>82486.552592956301</v>
      </c>
      <c r="I3771">
        <f>446494*(1.01^10)</f>
        <v>493207.15126335045</v>
      </c>
      <c r="J3771" t="s">
        <v>11792</v>
      </c>
      <c r="K3771">
        <f t="shared" si="58"/>
        <v>230.68459799782863</v>
      </c>
    </row>
    <row r="3772" spans="1:11" x14ac:dyDescent="0.2">
      <c r="A3772" t="s">
        <v>61</v>
      </c>
      <c r="B3772" t="s">
        <v>691</v>
      </c>
      <c r="C3772" t="s">
        <v>11793</v>
      </c>
      <c r="D3772" t="s">
        <v>11794</v>
      </c>
      <c r="E3772" t="s">
        <v>287</v>
      </c>
      <c r="F3772" t="s">
        <v>24</v>
      </c>
      <c r="G3772" t="s">
        <v>12</v>
      </c>
      <c r="H3772">
        <f>26187*(1.01^10)</f>
        <v>28926.73959814322</v>
      </c>
      <c r="I3772">
        <f>127199*(1.01^10)</f>
        <v>140506.82973017983</v>
      </c>
      <c r="J3772" t="s">
        <v>11795</v>
      </c>
      <c r="K3772">
        <f t="shared" si="58"/>
        <v>80.374727871793539</v>
      </c>
    </row>
    <row r="3773" spans="1:11" x14ac:dyDescent="0.2">
      <c r="A3773" t="s">
        <v>61</v>
      </c>
      <c r="B3773" t="s">
        <v>691</v>
      </c>
      <c r="C3773" t="s">
        <v>11796</v>
      </c>
      <c r="D3773" t="s">
        <v>11797</v>
      </c>
      <c r="E3773" t="s">
        <v>1282</v>
      </c>
      <c r="F3773" t="s">
        <v>24</v>
      </c>
      <c r="G3773" t="s">
        <v>24</v>
      </c>
      <c r="H3773">
        <f>42183*(1.01^10)</f>
        <v>46596.275116220851</v>
      </c>
      <c r="I3773">
        <f>222512*(1.01^10)</f>
        <v>245791.678369498</v>
      </c>
      <c r="J3773" t="s">
        <v>11798</v>
      </c>
      <c r="K3773">
        <f t="shared" si="58"/>
        <v>129.84975549235796</v>
      </c>
    </row>
    <row r="3774" spans="1:11" x14ac:dyDescent="0.2">
      <c r="A3774" t="s">
        <v>61</v>
      </c>
      <c r="B3774" t="s">
        <v>691</v>
      </c>
      <c r="C3774" t="s">
        <v>11799</v>
      </c>
      <c r="D3774" t="s">
        <v>11800</v>
      </c>
      <c r="E3774" t="s">
        <v>667</v>
      </c>
      <c r="F3774" t="s">
        <v>24</v>
      </c>
      <c r="G3774" t="s">
        <v>12</v>
      </c>
      <c r="H3774">
        <f>114875*(1.01^10)</f>
        <v>126893.46665661215</v>
      </c>
      <c r="I3774">
        <f>558035*(1.01^10)</f>
        <v>616417.80775384163</v>
      </c>
      <c r="J3774" t="s">
        <v>11801</v>
      </c>
      <c r="K3774">
        <f t="shared" si="58"/>
        <v>368.9053793072535</v>
      </c>
    </row>
    <row r="3775" spans="1:11" x14ac:dyDescent="0.2">
      <c r="A3775" t="s">
        <v>61</v>
      </c>
      <c r="B3775" t="s">
        <v>691</v>
      </c>
      <c r="C3775" t="s">
        <v>11802</v>
      </c>
      <c r="D3775" t="s">
        <v>11803</v>
      </c>
      <c r="E3775" t="s">
        <v>2873</v>
      </c>
      <c r="F3775" t="s">
        <v>24</v>
      </c>
      <c r="G3775" t="s">
        <v>17</v>
      </c>
      <c r="H3775">
        <f>50016*(1.01^10)</f>
        <v>55248.780224566814</v>
      </c>
      <c r="I3775">
        <f>236806*(1.01^10)</f>
        <v>261581.14703012575</v>
      </c>
      <c r="J3775" t="s">
        <v>11804</v>
      </c>
      <c r="K3775">
        <f t="shared" si="58"/>
        <v>192.60443237491558</v>
      </c>
    </row>
    <row r="3776" spans="1:11" x14ac:dyDescent="0.2">
      <c r="A3776" t="s">
        <v>61</v>
      </c>
      <c r="B3776" t="s">
        <v>691</v>
      </c>
      <c r="C3776" t="s">
        <v>11805</v>
      </c>
      <c r="D3776" t="s">
        <v>11806</v>
      </c>
      <c r="E3776" t="s">
        <v>484</v>
      </c>
      <c r="F3776" t="s">
        <v>24</v>
      </c>
      <c r="G3776" t="s">
        <v>12</v>
      </c>
      <c r="H3776">
        <f>33394*(1.01^10)</f>
        <v>36887.75125598177</v>
      </c>
      <c r="I3776">
        <f>165509*(1.01^10)</f>
        <v>182824.90335468308</v>
      </c>
      <c r="J3776" t="s">
        <v>11807</v>
      </c>
      <c r="K3776">
        <f t="shared" si="58"/>
        <v>268.11396728571674</v>
      </c>
    </row>
    <row r="3777" spans="1:11" x14ac:dyDescent="0.2">
      <c r="A3777" t="s">
        <v>61</v>
      </c>
      <c r="B3777" t="s">
        <v>930</v>
      </c>
      <c r="C3777" t="s">
        <v>11808</v>
      </c>
      <c r="D3777" t="s">
        <v>3542</v>
      </c>
      <c r="E3777" t="s">
        <v>32</v>
      </c>
      <c r="F3777" t="s">
        <v>12</v>
      </c>
      <c r="G3777" t="s">
        <v>17</v>
      </c>
      <c r="H3777">
        <f>84435*(1.01^10)</f>
        <v>93268.769159095071</v>
      </c>
      <c r="I3777">
        <f>433584*(1.01^10)</f>
        <v>478946.47962429182</v>
      </c>
      <c r="J3777" t="s">
        <v>11809</v>
      </c>
      <c r="K3777">
        <f t="shared" si="58"/>
        <v>454.60478262780873</v>
      </c>
    </row>
    <row r="3778" spans="1:11" x14ac:dyDescent="0.2">
      <c r="A3778" t="s">
        <v>61</v>
      </c>
      <c r="B3778" t="s">
        <v>930</v>
      </c>
      <c r="C3778" t="s">
        <v>11810</v>
      </c>
      <c r="D3778" t="s">
        <v>11811</v>
      </c>
      <c r="E3778" t="s">
        <v>1195</v>
      </c>
      <c r="F3778" t="s">
        <v>24</v>
      </c>
      <c r="G3778" t="s">
        <v>24</v>
      </c>
      <c r="H3778">
        <f>25779*(1.01^10)</f>
        <v>28476.053770975446</v>
      </c>
      <c r="I3778">
        <f>133269*(1.01^10)</f>
        <v>147211.88603142585</v>
      </c>
      <c r="J3778" t="s">
        <v>11812</v>
      </c>
      <c r="K3778">
        <f t="shared" si="58"/>
        <v>148.29082738987259</v>
      </c>
    </row>
    <row r="3779" spans="1:11" x14ac:dyDescent="0.2">
      <c r="A3779" t="s">
        <v>61</v>
      </c>
      <c r="B3779" t="s">
        <v>930</v>
      </c>
      <c r="C3779" t="s">
        <v>11813</v>
      </c>
      <c r="D3779" t="s">
        <v>11814</v>
      </c>
      <c r="E3779" t="s">
        <v>498</v>
      </c>
      <c r="F3779" t="s">
        <v>12</v>
      </c>
      <c r="G3779" t="s">
        <v>12</v>
      </c>
      <c r="H3779">
        <f>36127*(1.01^10)</f>
        <v>39906.683524730593</v>
      </c>
      <c r="I3779">
        <f>190994*(1.01^10)</f>
        <v>210976.19822078763</v>
      </c>
      <c r="J3779" t="s">
        <v>11815</v>
      </c>
      <c r="K3779">
        <f t="shared" ref="K3779:K3842" si="59">I3779/J3779</f>
        <v>152.80147001669314</v>
      </c>
    </row>
    <row r="3780" spans="1:11" x14ac:dyDescent="0.2">
      <c r="A3780" t="s">
        <v>726</v>
      </c>
      <c r="B3780" t="s">
        <v>187</v>
      </c>
      <c r="C3780" t="s">
        <v>11816</v>
      </c>
      <c r="D3780" t="s">
        <v>11817</v>
      </c>
      <c r="E3780" t="s">
        <v>484</v>
      </c>
      <c r="F3780" t="s">
        <v>318</v>
      </c>
      <c r="G3780" t="s">
        <v>24</v>
      </c>
      <c r="H3780">
        <f>12155*(1.01^10)</f>
        <v>13426.681934373193</v>
      </c>
      <c r="I3780">
        <f>62552*(1.01^10)</f>
        <v>69096.323188721683</v>
      </c>
      <c r="J3780" t="s">
        <v>11818</v>
      </c>
      <c r="K3780">
        <f t="shared" si="59"/>
        <v>31.543808056209581</v>
      </c>
    </row>
    <row r="3781" spans="1:11" x14ac:dyDescent="0.2">
      <c r="A3781" t="s">
        <v>726</v>
      </c>
      <c r="B3781" t="s">
        <v>187</v>
      </c>
      <c r="C3781" t="s">
        <v>11819</v>
      </c>
      <c r="D3781" t="s">
        <v>11820</v>
      </c>
      <c r="E3781" t="s">
        <v>611</v>
      </c>
      <c r="F3781" t="s">
        <v>24</v>
      </c>
      <c r="G3781" t="s">
        <v>12</v>
      </c>
      <c r="H3781">
        <f>42369*(1.01^10)</f>
        <v>46801.734831547335</v>
      </c>
      <c r="I3781">
        <f>217315*(1.01^10)</f>
        <v>240050.95718373597</v>
      </c>
      <c r="J3781" t="s">
        <v>11821</v>
      </c>
      <c r="K3781">
        <f t="shared" si="59"/>
        <v>74.600650328807617</v>
      </c>
    </row>
    <row r="3782" spans="1:11" x14ac:dyDescent="0.2">
      <c r="A3782" t="s">
        <v>726</v>
      </c>
      <c r="B3782" t="s">
        <v>187</v>
      </c>
      <c r="C3782" t="s">
        <v>11822</v>
      </c>
      <c r="D3782" t="s">
        <v>11823</v>
      </c>
      <c r="E3782" t="s">
        <v>537</v>
      </c>
      <c r="F3782" t="s">
        <v>12</v>
      </c>
      <c r="G3782" t="s">
        <v>12</v>
      </c>
      <c r="H3782">
        <f>41393*(1.01^10)</f>
        <v>45723.623637145996</v>
      </c>
      <c r="I3782">
        <f>186035*(1.01^10)</f>
        <v>205498.37710087348</v>
      </c>
      <c r="J3782" t="s">
        <v>11824</v>
      </c>
      <c r="K3782">
        <f t="shared" si="59"/>
        <v>103.24646968194385</v>
      </c>
    </row>
    <row r="3783" spans="1:11" x14ac:dyDescent="0.2">
      <c r="A3783" t="s">
        <v>726</v>
      </c>
      <c r="B3783" t="s">
        <v>187</v>
      </c>
      <c r="C3783" t="s">
        <v>11825</v>
      </c>
      <c r="D3783" t="s">
        <v>11826</v>
      </c>
      <c r="E3783" t="s">
        <v>232</v>
      </c>
      <c r="F3783" t="s">
        <v>17</v>
      </c>
      <c r="G3783" t="s">
        <v>12</v>
      </c>
      <c r="H3783">
        <f>51938*(1.01^10)</f>
        <v>57371.863949607156</v>
      </c>
      <c r="I3783">
        <f>235537*(1.01^10)</f>
        <v>260179.38155297894</v>
      </c>
      <c r="J3783" t="s">
        <v>11827</v>
      </c>
      <c r="K3783">
        <f t="shared" si="59"/>
        <v>199.57857139918116</v>
      </c>
    </row>
    <row r="3784" spans="1:11" x14ac:dyDescent="0.2">
      <c r="A3784" t="s">
        <v>726</v>
      </c>
      <c r="B3784" t="s">
        <v>187</v>
      </c>
      <c r="C3784" t="s">
        <v>11828</v>
      </c>
      <c r="D3784" t="s">
        <v>11829</v>
      </c>
      <c r="E3784" t="s">
        <v>328</v>
      </c>
      <c r="F3784" t="s">
        <v>405</v>
      </c>
      <c r="G3784" t="s">
        <v>92</v>
      </c>
      <c r="H3784">
        <f>96646*(1.01^10)</f>
        <v>106757.30993249129</v>
      </c>
      <c r="I3784">
        <f>443269*(1.01^10)</f>
        <v>489644.7449088993</v>
      </c>
      <c r="J3784" t="s">
        <v>11830</v>
      </c>
      <c r="K3784">
        <f t="shared" si="59"/>
        <v>82.485789648381711</v>
      </c>
    </row>
    <row r="3785" spans="1:11" x14ac:dyDescent="0.2">
      <c r="A3785" t="s">
        <v>726</v>
      </c>
      <c r="B3785" t="s">
        <v>187</v>
      </c>
      <c r="C3785" t="s">
        <v>11831</v>
      </c>
      <c r="D3785" t="s">
        <v>11832</v>
      </c>
      <c r="E3785" t="s">
        <v>2283</v>
      </c>
      <c r="F3785" t="s">
        <v>382</v>
      </c>
      <c r="G3785" t="s">
        <v>24</v>
      </c>
      <c r="H3785">
        <f>28608*(1.01^10)</f>
        <v>31601.029763763745</v>
      </c>
      <c r="I3785">
        <f>146367*(1.01^10)</f>
        <v>161680.22663006181</v>
      </c>
      <c r="J3785" t="s">
        <v>11833</v>
      </c>
      <c r="K3785">
        <f t="shared" si="59"/>
        <v>75.723327070123005</v>
      </c>
    </row>
    <row r="3786" spans="1:11" x14ac:dyDescent="0.2">
      <c r="A3786" t="s">
        <v>726</v>
      </c>
      <c r="B3786" t="s">
        <v>187</v>
      </c>
      <c r="C3786" t="s">
        <v>11834</v>
      </c>
      <c r="D3786" t="s">
        <v>11835</v>
      </c>
      <c r="E3786" t="s">
        <v>1295</v>
      </c>
      <c r="F3786" t="s">
        <v>11</v>
      </c>
      <c r="G3786" t="s">
        <v>24</v>
      </c>
      <c r="H3786">
        <f>24070*(1.01^10)</f>
        <v>26588.254558647699</v>
      </c>
      <c r="I3786">
        <f>117538*(1.01^10)</f>
        <v>129835.07537658219</v>
      </c>
      <c r="J3786" t="s">
        <v>11836</v>
      </c>
      <c r="K3786">
        <f t="shared" si="59"/>
        <v>51.220223049758644</v>
      </c>
    </row>
    <row r="3787" spans="1:11" x14ac:dyDescent="0.2">
      <c r="A3787" t="s">
        <v>726</v>
      </c>
      <c r="B3787" t="s">
        <v>187</v>
      </c>
      <c r="C3787" t="s">
        <v>11837</v>
      </c>
      <c r="D3787" t="s">
        <v>11838</v>
      </c>
      <c r="E3787" t="s">
        <v>287</v>
      </c>
      <c r="F3787" t="s">
        <v>17</v>
      </c>
      <c r="G3787" t="s">
        <v>12</v>
      </c>
      <c r="H3787">
        <f>41854*(1.01^10)</f>
        <v>46232.854436960566</v>
      </c>
      <c r="I3787">
        <f>203373*(1.01^10)</f>
        <v>224650.31551125293</v>
      </c>
      <c r="J3787" t="s">
        <v>11839</v>
      </c>
      <c r="K3787">
        <f t="shared" si="59"/>
        <v>142.79274665919468</v>
      </c>
    </row>
    <row r="3788" spans="1:11" x14ac:dyDescent="0.2">
      <c r="A3788" t="s">
        <v>726</v>
      </c>
      <c r="B3788" t="s">
        <v>187</v>
      </c>
      <c r="C3788" t="s">
        <v>11840</v>
      </c>
      <c r="D3788" t="s">
        <v>11841</v>
      </c>
      <c r="E3788" t="s">
        <v>612</v>
      </c>
      <c r="F3788" t="s">
        <v>11</v>
      </c>
      <c r="G3788" t="s">
        <v>12</v>
      </c>
      <c r="H3788">
        <f>35192*(1.01^10)</f>
        <v>38873.861837471115</v>
      </c>
      <c r="I3788">
        <f>153219*(1.01^10)</f>
        <v>169249.09743337939</v>
      </c>
      <c r="J3788" t="s">
        <v>11842</v>
      </c>
      <c r="K3788">
        <f t="shared" si="59"/>
        <v>154.12782810518095</v>
      </c>
    </row>
    <row r="3789" spans="1:11" x14ac:dyDescent="0.2">
      <c r="A3789" t="s">
        <v>726</v>
      </c>
      <c r="B3789" t="s">
        <v>187</v>
      </c>
      <c r="C3789" t="s">
        <v>11843</v>
      </c>
      <c r="D3789" t="s">
        <v>11844</v>
      </c>
      <c r="E3789" t="s">
        <v>158</v>
      </c>
      <c r="F3789" t="s">
        <v>24</v>
      </c>
      <c r="G3789" t="s">
        <v>5</v>
      </c>
      <c r="H3789">
        <f>71447*(1.01^10)</f>
        <v>78921.936994254342</v>
      </c>
      <c r="I3789">
        <f>327166*(1.01^10)</f>
        <v>361394.80228228221</v>
      </c>
      <c r="J3789" t="s">
        <v>11845</v>
      </c>
      <c r="K3789">
        <f t="shared" si="59"/>
        <v>1666.326189127599</v>
      </c>
    </row>
    <row r="3790" spans="1:11" x14ac:dyDescent="0.2">
      <c r="A3790" t="s">
        <v>726</v>
      </c>
      <c r="B3790" t="s">
        <v>11846</v>
      </c>
      <c r="C3790" t="s">
        <v>11847</v>
      </c>
      <c r="D3790" t="s">
        <v>11848</v>
      </c>
      <c r="E3790" t="s">
        <v>2283</v>
      </c>
      <c r="F3790" t="s">
        <v>12</v>
      </c>
      <c r="G3790" t="s">
        <v>24</v>
      </c>
      <c r="H3790">
        <f>44267*(1.01^10)</f>
        <v>48898.3076255778</v>
      </c>
      <c r="I3790">
        <f>246156*(1.01^10)</f>
        <v>271909.36390272051</v>
      </c>
      <c r="J3790" t="s">
        <v>11849</v>
      </c>
      <c r="K3790">
        <f t="shared" si="59"/>
        <v>154.03571215796691</v>
      </c>
    </row>
    <row r="3791" spans="1:11" x14ac:dyDescent="0.2">
      <c r="A3791" t="s">
        <v>726</v>
      </c>
      <c r="B3791" t="s">
        <v>11846</v>
      </c>
      <c r="C3791" t="s">
        <v>11850</v>
      </c>
      <c r="D3791" t="s">
        <v>11851</v>
      </c>
      <c r="E3791" t="s">
        <v>58</v>
      </c>
      <c r="F3791" t="s">
        <v>24</v>
      </c>
      <c r="G3791" t="s">
        <v>12</v>
      </c>
      <c r="H3791">
        <f>54915*(1.01^10)</f>
        <v>60660.324016956307</v>
      </c>
      <c r="I3791">
        <f>327289*(1.01^10)</f>
        <v>361530.67080370779</v>
      </c>
      <c r="J3791" t="s">
        <v>11852</v>
      </c>
      <c r="K3791">
        <f t="shared" si="59"/>
        <v>262.94812724423156</v>
      </c>
    </row>
    <row r="3792" spans="1:11" x14ac:dyDescent="0.2">
      <c r="A3792" t="s">
        <v>726</v>
      </c>
      <c r="B3792" t="s">
        <v>11846</v>
      </c>
      <c r="C3792" t="s">
        <v>11853</v>
      </c>
      <c r="D3792" t="s">
        <v>11854</v>
      </c>
      <c r="E3792" t="s">
        <v>168</v>
      </c>
      <c r="F3792" t="s">
        <v>24</v>
      </c>
      <c r="G3792" t="s">
        <v>12</v>
      </c>
      <c r="H3792">
        <f>37893*(1.01^10)</f>
        <v>41857.446198206781</v>
      </c>
      <c r="I3792">
        <f>230741*(1.01^10)</f>
        <v>254881.61383950678</v>
      </c>
      <c r="J3792" t="s">
        <v>11855</v>
      </c>
      <c r="K3792">
        <f t="shared" si="59"/>
        <v>305.62281025036947</v>
      </c>
    </row>
    <row r="3793" spans="1:11" x14ac:dyDescent="0.2">
      <c r="A3793" t="s">
        <v>726</v>
      </c>
      <c r="B3793" t="s">
        <v>11846</v>
      </c>
      <c r="C3793" t="s">
        <v>11856</v>
      </c>
      <c r="D3793" t="s">
        <v>11857</v>
      </c>
      <c r="E3793" t="s">
        <v>164</v>
      </c>
      <c r="F3793" t="s">
        <v>24</v>
      </c>
      <c r="G3793" t="s">
        <v>24</v>
      </c>
      <c r="H3793">
        <f>20852*(1.01^10)</f>
        <v>23033.580559074442</v>
      </c>
      <c r="I3793">
        <f>115221*(1.01^10)</f>
        <v>127275.66591200442</v>
      </c>
      <c r="J3793" t="s">
        <v>11858</v>
      </c>
      <c r="K3793">
        <f t="shared" si="59"/>
        <v>280.50620172938716</v>
      </c>
    </row>
    <row r="3794" spans="1:11" x14ac:dyDescent="0.2">
      <c r="A3794" t="s">
        <v>726</v>
      </c>
      <c r="B3794" t="s">
        <v>11846</v>
      </c>
      <c r="C3794" t="s">
        <v>11859</v>
      </c>
      <c r="D3794" t="s">
        <v>11860</v>
      </c>
      <c r="E3794" t="s">
        <v>537</v>
      </c>
      <c r="F3794" t="s">
        <v>24</v>
      </c>
      <c r="G3794" t="s">
        <v>24</v>
      </c>
      <c r="H3794">
        <f>22118*(1.01^10)</f>
        <v>24432.032169845028</v>
      </c>
      <c r="I3794">
        <f>132354*(1.01^10)</f>
        <v>146201.1567866746</v>
      </c>
      <c r="J3794" t="s">
        <v>11861</v>
      </c>
      <c r="K3794">
        <f t="shared" si="59"/>
        <v>211.74689723996309</v>
      </c>
    </row>
    <row r="3795" spans="1:11" x14ac:dyDescent="0.2">
      <c r="A3795" t="s">
        <v>726</v>
      </c>
      <c r="B3795" t="s">
        <v>11846</v>
      </c>
      <c r="C3795" t="s">
        <v>11862</v>
      </c>
      <c r="D3795" t="s">
        <v>11863</v>
      </c>
      <c r="E3795" t="s">
        <v>1227</v>
      </c>
      <c r="F3795" t="s">
        <v>17</v>
      </c>
      <c r="G3795" t="s">
        <v>12</v>
      </c>
      <c r="H3795">
        <f>39613*(1.01^10)</f>
        <v>43757.396253914056</v>
      </c>
      <c r="I3795">
        <f>224839*(1.01^10)</f>
        <v>248362.13405532987</v>
      </c>
      <c r="J3795" t="s">
        <v>11864</v>
      </c>
      <c r="K3795">
        <f t="shared" si="59"/>
        <v>275.62525973410374</v>
      </c>
    </row>
    <row r="3796" spans="1:11" x14ac:dyDescent="0.2">
      <c r="A3796" t="s">
        <v>726</v>
      </c>
      <c r="B3796" t="s">
        <v>11846</v>
      </c>
      <c r="C3796" t="s">
        <v>11865</v>
      </c>
      <c r="D3796" t="s">
        <v>11866</v>
      </c>
      <c r="E3796" t="s">
        <v>626</v>
      </c>
      <c r="F3796" t="s">
        <v>24</v>
      </c>
      <c r="G3796" t="s">
        <v>12</v>
      </c>
      <c r="H3796">
        <f>47642*(1.01^10)</f>
        <v>52626.407298840619</v>
      </c>
      <c r="I3796">
        <f>240326*(1.01^10)</f>
        <v>265469.41691157321</v>
      </c>
      <c r="J3796" t="s">
        <v>11867</v>
      </c>
      <c r="K3796">
        <f t="shared" si="59"/>
        <v>453.47199350496146</v>
      </c>
    </row>
    <row r="3797" spans="1:11" x14ac:dyDescent="0.2">
      <c r="A3797" t="s">
        <v>726</v>
      </c>
      <c r="B3797" t="s">
        <v>11846</v>
      </c>
      <c r="C3797" t="s">
        <v>11868</v>
      </c>
      <c r="D3797" t="s">
        <v>11869</v>
      </c>
      <c r="E3797" t="s">
        <v>1960</v>
      </c>
      <c r="F3797" t="s">
        <v>12</v>
      </c>
      <c r="G3797" t="s">
        <v>11</v>
      </c>
      <c r="H3797">
        <f>87108*(1.01^10)</f>
        <v>96221.424100319229</v>
      </c>
      <c r="I3797">
        <f>438773*(1.01^10)</f>
        <v>484678.36383305053</v>
      </c>
      <c r="J3797" t="s">
        <v>11870</v>
      </c>
      <c r="K3797">
        <f t="shared" si="59"/>
        <v>616.19120897940991</v>
      </c>
    </row>
    <row r="3798" spans="1:11" x14ac:dyDescent="0.2">
      <c r="A3798" t="s">
        <v>726</v>
      </c>
      <c r="B3798" t="s">
        <v>11846</v>
      </c>
      <c r="C3798" t="s">
        <v>11871</v>
      </c>
      <c r="D3798" t="s">
        <v>11872</v>
      </c>
      <c r="E3798" t="s">
        <v>1446</v>
      </c>
      <c r="F3798" t="s">
        <v>24</v>
      </c>
      <c r="G3798" t="s">
        <v>17</v>
      </c>
      <c r="H3798">
        <f>105016*(1.01^10)</f>
        <v>116002.99712218308</v>
      </c>
      <c r="I3798">
        <f>588123*(1.01^10)</f>
        <v>649653.67826321395</v>
      </c>
      <c r="J3798" t="s">
        <v>11873</v>
      </c>
      <c r="K3798">
        <f t="shared" si="59"/>
        <v>439.49622668932966</v>
      </c>
    </row>
    <row r="3799" spans="1:11" x14ac:dyDescent="0.2">
      <c r="A3799" t="s">
        <v>726</v>
      </c>
      <c r="B3799" t="s">
        <v>11846</v>
      </c>
      <c r="C3799" t="s">
        <v>11874</v>
      </c>
      <c r="D3799" t="s">
        <v>11875</v>
      </c>
      <c r="E3799" t="s">
        <v>535</v>
      </c>
      <c r="F3799" t="s">
        <v>24</v>
      </c>
      <c r="G3799" t="s">
        <v>12</v>
      </c>
      <c r="H3799">
        <f>30481*(1.01^10)</f>
        <v>33669.987004658935</v>
      </c>
      <c r="I3799">
        <f>177919*(1.01^10)</f>
        <v>196533.26393103614</v>
      </c>
      <c r="J3799" t="s">
        <v>11876</v>
      </c>
      <c r="K3799">
        <f t="shared" si="59"/>
        <v>332.93592099951701</v>
      </c>
    </row>
    <row r="3800" spans="1:11" x14ac:dyDescent="0.2">
      <c r="A3800" t="s">
        <v>726</v>
      </c>
      <c r="B3800" t="s">
        <v>11846</v>
      </c>
      <c r="C3800" t="s">
        <v>11877</v>
      </c>
      <c r="D3800" t="s">
        <v>11878</v>
      </c>
      <c r="E3800" t="s">
        <v>91</v>
      </c>
      <c r="F3800" t="s">
        <v>24</v>
      </c>
      <c r="G3800" t="s">
        <v>12</v>
      </c>
      <c r="H3800">
        <f>21527*(1.01^10)</f>
        <v>23779.200493727003</v>
      </c>
      <c r="I3800">
        <f>123152*(1.01^10)</f>
        <v>136036.42398864069</v>
      </c>
      <c r="J3800" t="s">
        <v>11879</v>
      </c>
      <c r="K3800">
        <f t="shared" si="59"/>
        <v>302.48536217850574</v>
      </c>
    </row>
    <row r="3801" spans="1:11" x14ac:dyDescent="0.2">
      <c r="A3801" t="s">
        <v>726</v>
      </c>
      <c r="B3801" t="s">
        <v>11846</v>
      </c>
      <c r="C3801" t="s">
        <v>11880</v>
      </c>
      <c r="D3801" t="s">
        <v>11881</v>
      </c>
      <c r="E3801" t="s">
        <v>368</v>
      </c>
      <c r="F3801" t="s">
        <v>24</v>
      </c>
      <c r="G3801" t="s">
        <v>12</v>
      </c>
      <c r="H3801">
        <f>48979*(1.01^10)</f>
        <v>54103.287080515394</v>
      </c>
      <c r="I3801">
        <f>275613*(1.01^10)</f>
        <v>304448.21785095835</v>
      </c>
      <c r="J3801" t="s">
        <v>11882</v>
      </c>
      <c r="K3801">
        <f t="shared" si="59"/>
        <v>365.30616083691848</v>
      </c>
    </row>
    <row r="3802" spans="1:11" x14ac:dyDescent="0.2">
      <c r="A3802" t="s">
        <v>726</v>
      </c>
      <c r="B3802" t="s">
        <v>8697</v>
      </c>
      <c r="C3802" t="s">
        <v>11883</v>
      </c>
      <c r="D3802" t="s">
        <v>11884</v>
      </c>
      <c r="E3802" t="s">
        <v>1106</v>
      </c>
      <c r="F3802" t="s">
        <v>24</v>
      </c>
      <c r="G3802" t="s">
        <v>24</v>
      </c>
      <c r="H3802">
        <f>25101*(1.01^10)</f>
        <v>27727.119969946649</v>
      </c>
      <c r="I3802">
        <f>128791*(1.01^10)</f>
        <v>142265.38815383447</v>
      </c>
      <c r="J3802" t="s">
        <v>11885</v>
      </c>
      <c r="K3802">
        <f t="shared" si="59"/>
        <v>107.06001055870411</v>
      </c>
    </row>
    <row r="3803" spans="1:11" x14ac:dyDescent="0.2">
      <c r="A3803" t="s">
        <v>726</v>
      </c>
      <c r="B3803" t="s">
        <v>8697</v>
      </c>
      <c r="C3803" t="s">
        <v>11886</v>
      </c>
      <c r="D3803" t="s">
        <v>11887</v>
      </c>
      <c r="E3803" t="s">
        <v>1027</v>
      </c>
      <c r="F3803" t="s">
        <v>24</v>
      </c>
      <c r="G3803" t="s">
        <v>12</v>
      </c>
      <c r="H3803">
        <f>27348*(1.01^10)</f>
        <v>30209.205885745629</v>
      </c>
      <c r="I3803">
        <f>144266*(1.01^10)</f>
        <v>159359.41554457287</v>
      </c>
      <c r="J3803" t="s">
        <v>11888</v>
      </c>
      <c r="K3803">
        <f t="shared" si="59"/>
        <v>264.29497336089258</v>
      </c>
    </row>
    <row r="3804" spans="1:11" x14ac:dyDescent="0.2">
      <c r="A3804" t="s">
        <v>726</v>
      </c>
      <c r="B3804" t="s">
        <v>8697</v>
      </c>
      <c r="C3804" t="s">
        <v>11889</v>
      </c>
      <c r="D3804" t="s">
        <v>11890</v>
      </c>
      <c r="E3804" t="s">
        <v>619</v>
      </c>
      <c r="F3804" t="s">
        <v>24</v>
      </c>
      <c r="G3804" t="s">
        <v>17</v>
      </c>
      <c r="H3804">
        <f>41845*(1.01^10)</f>
        <v>46222.912837831864</v>
      </c>
      <c r="I3804">
        <f>213087*(1.01^10)</f>
        <v>235380.61483749739</v>
      </c>
      <c r="J3804" t="s">
        <v>11891</v>
      </c>
      <c r="K3804">
        <f t="shared" si="59"/>
        <v>616.91464353985111</v>
      </c>
    </row>
    <row r="3805" spans="1:11" x14ac:dyDescent="0.2">
      <c r="A3805" t="s">
        <v>726</v>
      </c>
      <c r="B3805" t="s">
        <v>8697</v>
      </c>
      <c r="C3805" t="s">
        <v>11892</v>
      </c>
      <c r="D3805" t="s">
        <v>8573</v>
      </c>
      <c r="E3805" t="s">
        <v>679</v>
      </c>
      <c r="F3805" t="s">
        <v>24</v>
      </c>
      <c r="G3805" t="s">
        <v>12</v>
      </c>
      <c r="H3805">
        <f>89985*(1.01^10)</f>
        <v>99399.421955127254</v>
      </c>
      <c r="I3805">
        <f>449480*(1.01^10)</f>
        <v>496505.55292982829</v>
      </c>
      <c r="J3805" t="s">
        <v>11893</v>
      </c>
      <c r="K3805">
        <f t="shared" si="59"/>
        <v>484.92894782054282</v>
      </c>
    </row>
    <row r="3806" spans="1:11" x14ac:dyDescent="0.2">
      <c r="A3806" t="s">
        <v>726</v>
      </c>
      <c r="B3806" t="s">
        <v>8697</v>
      </c>
      <c r="C3806" t="s">
        <v>11894</v>
      </c>
      <c r="D3806" t="s">
        <v>11895</v>
      </c>
      <c r="E3806" t="s">
        <v>16</v>
      </c>
      <c r="F3806" t="s">
        <v>24</v>
      </c>
      <c r="G3806" t="s">
        <v>12</v>
      </c>
      <c r="H3806">
        <f>18786*(1.01^10)</f>
        <v>20751.431247974891</v>
      </c>
      <c r="I3806">
        <f>94562*(1.01^10)</f>
        <v>104455.27742313435</v>
      </c>
      <c r="J3806" t="s">
        <v>11896</v>
      </c>
      <c r="K3806">
        <f t="shared" si="59"/>
        <v>258.569188413517</v>
      </c>
    </row>
    <row r="3807" spans="1:11" x14ac:dyDescent="0.2">
      <c r="A3807" t="s">
        <v>726</v>
      </c>
      <c r="B3807" t="s">
        <v>8697</v>
      </c>
      <c r="C3807" t="s">
        <v>11897</v>
      </c>
      <c r="D3807" t="s">
        <v>11898</v>
      </c>
      <c r="E3807" t="s">
        <v>148</v>
      </c>
      <c r="F3807" t="s">
        <v>24</v>
      </c>
      <c r="G3807" t="s">
        <v>24</v>
      </c>
      <c r="H3807">
        <f>36281*(1.01^10)</f>
        <v>40076.795332043919</v>
      </c>
      <c r="I3807">
        <f>182805*(1.01^10)</f>
        <v>201930.44763579528</v>
      </c>
      <c r="J3807" t="s">
        <v>11899</v>
      </c>
      <c r="K3807">
        <f t="shared" si="59"/>
        <v>126.70208310262181</v>
      </c>
    </row>
    <row r="3808" spans="1:11" x14ac:dyDescent="0.2">
      <c r="A3808" t="s">
        <v>726</v>
      </c>
      <c r="B3808" t="s">
        <v>8697</v>
      </c>
      <c r="C3808" t="s">
        <v>11900</v>
      </c>
      <c r="D3808" t="s">
        <v>11901</v>
      </c>
      <c r="E3808" t="s">
        <v>612</v>
      </c>
      <c r="F3808" t="s">
        <v>24</v>
      </c>
      <c r="G3808" t="s">
        <v>12</v>
      </c>
      <c r="H3808">
        <f>28287*(1.01^10)</f>
        <v>31246.446061506747</v>
      </c>
      <c r="I3808">
        <f>130743*(1.01^10)</f>
        <v>144421.61054263715</v>
      </c>
      <c r="J3808" t="s">
        <v>11902</v>
      </c>
      <c r="K3808">
        <f t="shared" si="59"/>
        <v>315.97415743287547</v>
      </c>
    </row>
    <row r="3809" spans="1:11" x14ac:dyDescent="0.2">
      <c r="A3809" t="s">
        <v>726</v>
      </c>
      <c r="B3809" t="s">
        <v>3536</v>
      </c>
      <c r="C3809" t="s">
        <v>11903</v>
      </c>
      <c r="D3809" t="s">
        <v>11904</v>
      </c>
      <c r="E3809" t="s">
        <v>137</v>
      </c>
      <c r="F3809" t="s">
        <v>152</v>
      </c>
      <c r="G3809" t="s">
        <v>24</v>
      </c>
      <c r="H3809">
        <f>17757*(1.01^10)</f>
        <v>19614.775080926764</v>
      </c>
      <c r="I3809">
        <f>89546*(1.01^10)</f>
        <v>98914.492842071733</v>
      </c>
      <c r="J3809" t="s">
        <v>11905</v>
      </c>
      <c r="K3809">
        <f t="shared" si="59"/>
        <v>318.73878995452708</v>
      </c>
    </row>
    <row r="3810" spans="1:11" x14ac:dyDescent="0.2">
      <c r="A3810" t="s">
        <v>726</v>
      </c>
      <c r="B3810" t="s">
        <v>3536</v>
      </c>
      <c r="C3810" t="s">
        <v>11906</v>
      </c>
      <c r="D3810" t="s">
        <v>11907</v>
      </c>
      <c r="E3810" t="s">
        <v>91</v>
      </c>
      <c r="F3810" t="s">
        <v>24</v>
      </c>
      <c r="G3810" t="s">
        <v>12</v>
      </c>
      <c r="H3810">
        <f>26456*(1.01^10)</f>
        <v>29223.882949878833</v>
      </c>
      <c r="I3810">
        <f>133778*(1.01^10)</f>
        <v>147774.13869326015</v>
      </c>
      <c r="J3810" t="s">
        <v>11908</v>
      </c>
      <c r="K3810">
        <f t="shared" si="59"/>
        <v>459.42812603713958</v>
      </c>
    </row>
    <row r="3811" spans="1:11" x14ac:dyDescent="0.2">
      <c r="A3811" t="s">
        <v>726</v>
      </c>
      <c r="B3811" t="s">
        <v>3536</v>
      </c>
      <c r="C3811" t="s">
        <v>11909</v>
      </c>
      <c r="D3811" t="s">
        <v>11910</v>
      </c>
      <c r="E3811" t="s">
        <v>374</v>
      </c>
      <c r="F3811" t="s">
        <v>24</v>
      </c>
      <c r="G3811" t="s">
        <v>12</v>
      </c>
      <c r="H3811">
        <f>38151*(1.01^10)</f>
        <v>42142.438706562869</v>
      </c>
      <c r="I3811">
        <f>175539*(1.01^10)</f>
        <v>193904.26327255747</v>
      </c>
      <c r="J3811" t="s">
        <v>11911</v>
      </c>
      <c r="K3811">
        <f t="shared" si="59"/>
        <v>617.82485534948432</v>
      </c>
    </row>
    <row r="3812" spans="1:11" x14ac:dyDescent="0.2">
      <c r="A3812" t="s">
        <v>726</v>
      </c>
      <c r="B3812" t="s">
        <v>3536</v>
      </c>
      <c r="C3812" t="s">
        <v>11912</v>
      </c>
      <c r="D3812" t="s">
        <v>11913</v>
      </c>
      <c r="E3812" t="s">
        <v>612</v>
      </c>
      <c r="F3812" t="s">
        <v>24</v>
      </c>
      <c r="G3812" t="s">
        <v>12</v>
      </c>
      <c r="H3812">
        <f>55222*(1.01^10)</f>
        <v>60999.443009457551</v>
      </c>
      <c r="I3812">
        <f>262246*(1.01^10)</f>
        <v>289682.73390058678</v>
      </c>
      <c r="J3812" t="s">
        <v>11914</v>
      </c>
      <c r="K3812">
        <f t="shared" si="59"/>
        <v>598.19091422466136</v>
      </c>
    </row>
    <row r="3813" spans="1:11" x14ac:dyDescent="0.2">
      <c r="A3813" t="s">
        <v>726</v>
      </c>
      <c r="B3813" t="s">
        <v>3536</v>
      </c>
      <c r="C3813" t="s">
        <v>11915</v>
      </c>
      <c r="D3813" t="s">
        <v>11916</v>
      </c>
      <c r="E3813" t="s">
        <v>131</v>
      </c>
      <c r="F3813" t="s">
        <v>12</v>
      </c>
      <c r="G3813" t="s">
        <v>12</v>
      </c>
      <c r="H3813">
        <f>29054*(1.01^10)</f>
        <v>32093.691231697143</v>
      </c>
      <c r="I3813">
        <f>145445*(1.01^10)</f>
        <v>160661.76503043267</v>
      </c>
      <c r="J3813" t="s">
        <v>11917</v>
      </c>
      <c r="K3813">
        <f t="shared" si="59"/>
        <v>498.07212194491012</v>
      </c>
    </row>
    <row r="3814" spans="1:11" x14ac:dyDescent="0.2">
      <c r="A3814" t="s">
        <v>726</v>
      </c>
      <c r="B3814" t="s">
        <v>3536</v>
      </c>
      <c r="C3814" t="s">
        <v>11918</v>
      </c>
      <c r="D3814" t="s">
        <v>11919</v>
      </c>
      <c r="E3814" t="s">
        <v>67</v>
      </c>
      <c r="F3814" t="s">
        <v>24</v>
      </c>
      <c r="G3814" t="s">
        <v>12</v>
      </c>
      <c r="H3814">
        <f>54857*(1.01^10)</f>
        <v>60596.255933682456</v>
      </c>
      <c r="I3814">
        <f>257699*(1.01^10)</f>
        <v>284660.01709634205</v>
      </c>
      <c r="J3814" t="s">
        <v>11920</v>
      </c>
      <c r="K3814">
        <f t="shared" si="59"/>
        <v>511.9093752287406</v>
      </c>
    </row>
    <row r="3815" spans="1:11" x14ac:dyDescent="0.2">
      <c r="A3815" t="s">
        <v>726</v>
      </c>
      <c r="B3815" t="s">
        <v>3536</v>
      </c>
      <c r="C3815" t="s">
        <v>11921</v>
      </c>
      <c r="D3815" t="s">
        <v>11922</v>
      </c>
      <c r="E3815" t="s">
        <v>503</v>
      </c>
      <c r="F3815" t="s">
        <v>24</v>
      </c>
      <c r="G3815" t="s">
        <v>11</v>
      </c>
      <c r="H3815">
        <f>110653*(1.01^10)</f>
        <v>122229.75204312603</v>
      </c>
      <c r="I3815">
        <f>529816*(1.01^10)</f>
        <v>585246.47599686286</v>
      </c>
      <c r="J3815" t="s">
        <v>11923</v>
      </c>
      <c r="K3815">
        <f t="shared" si="59"/>
        <v>694.42794580239217</v>
      </c>
    </row>
    <row r="3816" spans="1:11" x14ac:dyDescent="0.2">
      <c r="A3816" t="s">
        <v>726</v>
      </c>
      <c r="B3816" t="s">
        <v>3536</v>
      </c>
      <c r="C3816" t="s">
        <v>11924</v>
      </c>
      <c r="D3816" t="s">
        <v>11925</v>
      </c>
      <c r="E3816" t="s">
        <v>91</v>
      </c>
      <c r="F3816" t="s">
        <v>24</v>
      </c>
      <c r="G3816" t="s">
        <v>12</v>
      </c>
      <c r="H3816">
        <f>20728*(1.01^10)</f>
        <v>22896.607415523453</v>
      </c>
      <c r="I3816">
        <f>99588*(1.01^10)</f>
        <v>110007.10822545105</v>
      </c>
      <c r="J3816" t="s">
        <v>11926</v>
      </c>
      <c r="K3816">
        <f t="shared" si="59"/>
        <v>263.08298551702529</v>
      </c>
    </row>
    <row r="3817" spans="1:11" x14ac:dyDescent="0.2">
      <c r="A3817" t="s">
        <v>726</v>
      </c>
      <c r="B3817" t="s">
        <v>3536</v>
      </c>
      <c r="C3817" t="s">
        <v>11927</v>
      </c>
      <c r="D3817" t="s">
        <v>11928</v>
      </c>
      <c r="E3817" t="s">
        <v>2283</v>
      </c>
      <c r="F3817" t="s">
        <v>24</v>
      </c>
      <c r="G3817" t="s">
        <v>12</v>
      </c>
      <c r="H3817">
        <f>71601*(1.01^10)</f>
        <v>79092.048801567667</v>
      </c>
      <c r="I3817">
        <f>341407*(1.01^10)</f>
        <v>377125.72597026319</v>
      </c>
      <c r="J3817" t="s">
        <v>11929</v>
      </c>
      <c r="K3817">
        <f t="shared" si="59"/>
        <v>453.63419344588635</v>
      </c>
    </row>
    <row r="3818" spans="1:11" x14ac:dyDescent="0.2">
      <c r="A3818" t="s">
        <v>726</v>
      </c>
      <c r="B3818" t="s">
        <v>749</v>
      </c>
      <c r="C3818" t="s">
        <v>11930</v>
      </c>
      <c r="D3818" t="s">
        <v>11931</v>
      </c>
      <c r="E3818" t="s">
        <v>1295</v>
      </c>
      <c r="F3818" t="s">
        <v>11</v>
      </c>
      <c r="G3818" t="s">
        <v>12</v>
      </c>
      <c r="H3818">
        <f>49560*(1.01^10)</f>
        <v>54745.07253537931</v>
      </c>
      <c r="I3818">
        <f>293143*(1.01^10)</f>
        <v>323812.24370941677</v>
      </c>
      <c r="J3818" t="s">
        <v>11932</v>
      </c>
      <c r="K3818">
        <f t="shared" si="59"/>
        <v>367.17606850542933</v>
      </c>
    </row>
    <row r="3819" spans="1:11" x14ac:dyDescent="0.2">
      <c r="A3819" t="s">
        <v>726</v>
      </c>
      <c r="B3819" t="s">
        <v>749</v>
      </c>
      <c r="C3819" t="s">
        <v>11933</v>
      </c>
      <c r="D3819" t="s">
        <v>11934</v>
      </c>
      <c r="E3819" t="s">
        <v>879</v>
      </c>
      <c r="F3819" t="s">
        <v>24</v>
      </c>
      <c r="G3819" t="s">
        <v>12</v>
      </c>
      <c r="H3819">
        <f>20881*(1.01^10)</f>
        <v>23065.614600711368</v>
      </c>
      <c r="I3819">
        <f>103895*(1.01^10)</f>
        <v>114764.71571959712</v>
      </c>
      <c r="J3819" t="s">
        <v>11935</v>
      </c>
      <c r="K3819">
        <f t="shared" si="59"/>
        <v>240.26413945521512</v>
      </c>
    </row>
    <row r="3820" spans="1:11" x14ac:dyDescent="0.2">
      <c r="A3820" t="s">
        <v>726</v>
      </c>
      <c r="B3820" t="s">
        <v>749</v>
      </c>
      <c r="C3820" t="s">
        <v>11936</v>
      </c>
      <c r="D3820" t="s">
        <v>11937</v>
      </c>
      <c r="E3820" t="s">
        <v>1027</v>
      </c>
      <c r="F3820" t="s">
        <v>24</v>
      </c>
      <c r="G3820" t="s">
        <v>12</v>
      </c>
      <c r="H3820">
        <f>19264*(1.01^10)</f>
        <v>21279.440623921448</v>
      </c>
      <c r="I3820">
        <f>92357*(1.01^10)</f>
        <v>102019.58563660264</v>
      </c>
      <c r="J3820" t="s">
        <v>11938</v>
      </c>
      <c r="K3820">
        <f t="shared" si="59"/>
        <v>272.0667422123181</v>
      </c>
    </row>
    <row r="3821" spans="1:11" x14ac:dyDescent="0.2">
      <c r="A3821" t="s">
        <v>726</v>
      </c>
      <c r="B3821" t="s">
        <v>749</v>
      </c>
      <c r="C3821" t="s">
        <v>11939</v>
      </c>
      <c r="D3821" t="s">
        <v>11940</v>
      </c>
      <c r="E3821" t="s">
        <v>1233</v>
      </c>
      <c r="F3821" t="s">
        <v>24</v>
      </c>
      <c r="G3821" t="s">
        <v>12</v>
      </c>
      <c r="H3821">
        <f>54823*(1.01^10)</f>
        <v>60558.698781418476</v>
      </c>
      <c r="I3821">
        <f>257904*(1.01^10)</f>
        <v>284886.46463205136</v>
      </c>
      <c r="J3821" t="s">
        <v>11941</v>
      </c>
      <c r="K3821">
        <f t="shared" si="59"/>
        <v>361.2082425506394</v>
      </c>
    </row>
    <row r="3822" spans="1:11" x14ac:dyDescent="0.2">
      <c r="A3822" t="s">
        <v>726</v>
      </c>
      <c r="B3822" t="s">
        <v>749</v>
      </c>
      <c r="C3822" t="s">
        <v>11942</v>
      </c>
      <c r="D3822" t="s">
        <v>11943</v>
      </c>
      <c r="E3822" t="s">
        <v>1401</v>
      </c>
      <c r="F3822" t="s">
        <v>11</v>
      </c>
      <c r="G3822" t="s">
        <v>12</v>
      </c>
      <c r="H3822">
        <f>48234*(1.01^10)</f>
        <v>53280.343597084051</v>
      </c>
      <c r="I3822">
        <f>239216*(1.01^10)</f>
        <v>264243.28635236673</v>
      </c>
      <c r="J3822" t="s">
        <v>11944</v>
      </c>
      <c r="K3822">
        <f t="shared" si="59"/>
        <v>363.72444741683091</v>
      </c>
    </row>
    <row r="3823" spans="1:11" x14ac:dyDescent="0.2">
      <c r="A3823" t="s">
        <v>726</v>
      </c>
      <c r="B3823" t="s">
        <v>749</v>
      </c>
      <c r="C3823" t="s">
        <v>11945</v>
      </c>
      <c r="D3823" t="s">
        <v>11946</v>
      </c>
      <c r="E3823" t="s">
        <v>555</v>
      </c>
      <c r="F3823" t="s">
        <v>24</v>
      </c>
      <c r="G3823" t="s">
        <v>12</v>
      </c>
      <c r="H3823">
        <f>31360*(1.01^10)</f>
        <v>34640.949852895377</v>
      </c>
      <c r="I3823">
        <f>167115*(1.01^10)</f>
        <v>184598.92648809348</v>
      </c>
      <c r="J3823" t="s">
        <v>11947</v>
      </c>
      <c r="K3823">
        <f t="shared" si="59"/>
        <v>334.94699554247745</v>
      </c>
    </row>
    <row r="3824" spans="1:11" x14ac:dyDescent="0.2">
      <c r="A3824" t="s">
        <v>726</v>
      </c>
      <c r="B3824" t="s">
        <v>749</v>
      </c>
      <c r="C3824" t="s">
        <v>11948</v>
      </c>
      <c r="D3824" t="s">
        <v>11949</v>
      </c>
      <c r="E3824" t="s">
        <v>761</v>
      </c>
      <c r="F3824" t="s">
        <v>92</v>
      </c>
      <c r="G3824" t="s">
        <v>11</v>
      </c>
      <c r="H3824">
        <f>66731*(1.01^10)</f>
        <v>73712.539050815103</v>
      </c>
      <c r="I3824">
        <f>325669*(1.01^10)</f>
        <v>359741.18296054163</v>
      </c>
      <c r="J3824" t="s">
        <v>11950</v>
      </c>
      <c r="K3824">
        <f t="shared" si="59"/>
        <v>466.50714192175667</v>
      </c>
    </row>
    <row r="3825" spans="1:11" x14ac:dyDescent="0.2">
      <c r="A3825" t="s">
        <v>726</v>
      </c>
      <c r="B3825" t="s">
        <v>749</v>
      </c>
      <c r="C3825" t="s">
        <v>11951</v>
      </c>
      <c r="D3825" t="s">
        <v>11952</v>
      </c>
      <c r="E3825" t="s">
        <v>67</v>
      </c>
      <c r="F3825" t="s">
        <v>24</v>
      </c>
      <c r="G3825" t="s">
        <v>12</v>
      </c>
      <c r="H3825">
        <f>32503*(1.01^10)</f>
        <v>35903.532942240388</v>
      </c>
      <c r="I3825">
        <f>161279*(1.01^10)</f>
        <v>178152.35176419368</v>
      </c>
      <c r="J3825" t="s">
        <v>11953</v>
      </c>
      <c r="K3825">
        <f t="shared" si="59"/>
        <v>433.44801707628238</v>
      </c>
    </row>
    <row r="3826" spans="1:11" x14ac:dyDescent="0.2">
      <c r="A3826" t="s">
        <v>726</v>
      </c>
      <c r="B3826" t="s">
        <v>749</v>
      </c>
      <c r="C3826" t="s">
        <v>11954</v>
      </c>
      <c r="D3826" t="s">
        <v>11955</v>
      </c>
      <c r="E3826" t="s">
        <v>1106</v>
      </c>
      <c r="F3826" t="s">
        <v>24</v>
      </c>
      <c r="G3826" t="s">
        <v>12</v>
      </c>
      <c r="H3826">
        <f>30913*(1.01^10)</f>
        <v>34147.183762836576</v>
      </c>
      <c r="I3826">
        <f>154424*(1.01^10)</f>
        <v>170580.16709449989</v>
      </c>
      <c r="J3826" t="s">
        <v>11956</v>
      </c>
      <c r="K3826">
        <f t="shared" si="59"/>
        <v>391.54690354229001</v>
      </c>
    </row>
    <row r="3827" spans="1:11" x14ac:dyDescent="0.2">
      <c r="A3827" t="s">
        <v>726</v>
      </c>
      <c r="B3827" t="s">
        <v>749</v>
      </c>
      <c r="C3827" t="s">
        <v>11957</v>
      </c>
      <c r="D3827" t="s">
        <v>11958</v>
      </c>
      <c r="E3827" t="s">
        <v>1002</v>
      </c>
      <c r="F3827" t="s">
        <v>24</v>
      </c>
      <c r="G3827" t="s">
        <v>12</v>
      </c>
      <c r="H3827">
        <f>45143*(1.01^10)</f>
        <v>49865.956607438013</v>
      </c>
      <c r="I3827">
        <f>222625*(1.01^10)</f>
        <v>245916.50066966945</v>
      </c>
      <c r="J3827" t="s">
        <v>11959</v>
      </c>
      <c r="K3827">
        <f t="shared" si="59"/>
        <v>397.81950776918882</v>
      </c>
    </row>
    <row r="3828" spans="1:11" x14ac:dyDescent="0.2">
      <c r="A3828" t="s">
        <v>726</v>
      </c>
      <c r="B3828" t="s">
        <v>749</v>
      </c>
      <c r="C3828" t="s">
        <v>11960</v>
      </c>
      <c r="D3828" t="s">
        <v>11961</v>
      </c>
      <c r="E3828" t="s">
        <v>777</v>
      </c>
      <c r="F3828" t="s">
        <v>24</v>
      </c>
      <c r="G3828" t="s">
        <v>24</v>
      </c>
      <c r="H3828">
        <f>21278*(1.01^10)</f>
        <v>23504.149584499613</v>
      </c>
      <c r="I3828">
        <f>106733*(1.01^10)</f>
        <v>117899.63331151412</v>
      </c>
      <c r="J3828" t="s">
        <v>11962</v>
      </c>
      <c r="K3828">
        <f t="shared" si="59"/>
        <v>294.42842284409465</v>
      </c>
    </row>
    <row r="3829" spans="1:11" x14ac:dyDescent="0.2">
      <c r="A3829" t="s">
        <v>726</v>
      </c>
      <c r="B3829" t="s">
        <v>749</v>
      </c>
      <c r="C3829" t="s">
        <v>11963</v>
      </c>
      <c r="D3829" t="s">
        <v>11964</v>
      </c>
      <c r="E3829" t="s">
        <v>148</v>
      </c>
      <c r="F3829" t="s">
        <v>12</v>
      </c>
      <c r="G3829" t="s">
        <v>12</v>
      </c>
      <c r="H3829">
        <f>18950*(1.01^10)</f>
        <v>20932.58927654233</v>
      </c>
      <c r="I3829">
        <f>97838*(1.01^10)</f>
        <v>108074.01950598144</v>
      </c>
      <c r="J3829" t="s">
        <v>11965</v>
      </c>
      <c r="K3829">
        <f t="shared" si="59"/>
        <v>295.01108311839158</v>
      </c>
    </row>
    <row r="3830" spans="1:11" x14ac:dyDescent="0.2">
      <c r="A3830" t="s">
        <v>726</v>
      </c>
      <c r="B3830" t="s">
        <v>749</v>
      </c>
      <c r="C3830" t="s">
        <v>11966</v>
      </c>
      <c r="D3830" t="s">
        <v>11967</v>
      </c>
      <c r="E3830" t="s">
        <v>560</v>
      </c>
      <c r="F3830" t="s">
        <v>24</v>
      </c>
      <c r="G3830" t="s">
        <v>17</v>
      </c>
      <c r="H3830">
        <f>41774*(1.01^10)</f>
        <v>46144.484666927667</v>
      </c>
      <c r="I3830">
        <f>206391*(1.01^10)</f>
        <v>227984.06508574396</v>
      </c>
      <c r="J3830" t="s">
        <v>11968</v>
      </c>
      <c r="K3830">
        <f t="shared" si="59"/>
        <v>386.15702309203851</v>
      </c>
    </row>
    <row r="3831" spans="1:11" x14ac:dyDescent="0.2">
      <c r="A3831" t="s">
        <v>726</v>
      </c>
      <c r="B3831" t="s">
        <v>2007</v>
      </c>
      <c r="C3831" t="s">
        <v>11969</v>
      </c>
      <c r="D3831" t="s">
        <v>11970</v>
      </c>
      <c r="E3831" t="s">
        <v>67</v>
      </c>
      <c r="F3831" t="s">
        <v>24</v>
      </c>
      <c r="G3831" t="s">
        <v>158</v>
      </c>
      <c r="H3831">
        <f>74355*(1.01^10)</f>
        <v>82134.178134950125</v>
      </c>
      <c r="I3831">
        <f>356127*(1.01^10)</f>
        <v>393385.76365631609</v>
      </c>
      <c r="J3831" t="s">
        <v>11971</v>
      </c>
      <c r="K3831">
        <f t="shared" si="59"/>
        <v>806.7746509655849</v>
      </c>
    </row>
    <row r="3832" spans="1:11" x14ac:dyDescent="0.2">
      <c r="A3832" t="s">
        <v>726</v>
      </c>
      <c r="B3832" t="s">
        <v>2007</v>
      </c>
      <c r="C3832" t="s">
        <v>11972</v>
      </c>
      <c r="D3832" t="s">
        <v>1100</v>
      </c>
      <c r="E3832" t="s">
        <v>2795</v>
      </c>
      <c r="F3832" t="s">
        <v>24</v>
      </c>
      <c r="G3832" t="s">
        <v>12</v>
      </c>
      <c r="H3832">
        <f>43603*(1.01^10)</f>
        <v>48164.838534304763</v>
      </c>
      <c r="I3832">
        <f>206567*(1.01^10)</f>
        <v>228178.47857981632</v>
      </c>
      <c r="J3832" t="s">
        <v>11973</v>
      </c>
      <c r="K3832">
        <f t="shared" si="59"/>
        <v>618.55573201628977</v>
      </c>
    </row>
    <row r="3833" spans="1:11" x14ac:dyDescent="0.2">
      <c r="A3833" t="s">
        <v>726</v>
      </c>
      <c r="B3833" t="s">
        <v>2007</v>
      </c>
      <c r="C3833" t="s">
        <v>11974</v>
      </c>
      <c r="D3833" t="s">
        <v>11975</v>
      </c>
      <c r="E3833" t="s">
        <v>2795</v>
      </c>
      <c r="F3833" t="s">
        <v>24</v>
      </c>
      <c r="G3833" t="s">
        <v>6</v>
      </c>
      <c r="H3833">
        <f>118269*(1.01^10)</f>
        <v>130642.55415025777</v>
      </c>
      <c r="I3833">
        <f>560497*(1.01^10)</f>
        <v>619137.38742660405</v>
      </c>
      <c r="J3833" t="s">
        <v>11976</v>
      </c>
      <c r="K3833">
        <f t="shared" si="59"/>
        <v>922.27104623662763</v>
      </c>
    </row>
    <row r="3834" spans="1:11" x14ac:dyDescent="0.2">
      <c r="A3834" t="s">
        <v>726</v>
      </c>
      <c r="B3834" t="s">
        <v>2007</v>
      </c>
      <c r="C3834" t="s">
        <v>11977</v>
      </c>
      <c r="D3834" t="s">
        <v>11978</v>
      </c>
      <c r="E3834" t="s">
        <v>287</v>
      </c>
      <c r="F3834" t="s">
        <v>24</v>
      </c>
      <c r="G3834" t="s">
        <v>12</v>
      </c>
      <c r="H3834">
        <f>53763*(1.01^10)</f>
        <v>59387.799328482601</v>
      </c>
      <c r="I3834">
        <f>268562*(1.01^10)</f>
        <v>296659.527244684</v>
      </c>
      <c r="J3834" t="s">
        <v>11979</v>
      </c>
      <c r="K3834">
        <f t="shared" si="59"/>
        <v>484.58766268030269</v>
      </c>
    </row>
    <row r="3835" spans="1:11" x14ac:dyDescent="0.2">
      <c r="A3835" t="s">
        <v>726</v>
      </c>
      <c r="B3835" t="s">
        <v>11980</v>
      </c>
      <c r="C3835" t="s">
        <v>11981</v>
      </c>
      <c r="D3835" t="s">
        <v>11982</v>
      </c>
      <c r="E3835" t="s">
        <v>47</v>
      </c>
      <c r="F3835" t="s">
        <v>24</v>
      </c>
      <c r="G3835" t="s">
        <v>24</v>
      </c>
      <c r="H3835">
        <f>15121*(1.01^10)</f>
        <v>16702.991158342826</v>
      </c>
      <c r="I3835">
        <f>70346*(1.01^10)</f>
        <v>77705.748034176606</v>
      </c>
      <c r="J3835" t="s">
        <v>11983</v>
      </c>
      <c r="K3835">
        <f t="shared" si="59"/>
        <v>162.57373699638873</v>
      </c>
    </row>
    <row r="3836" spans="1:11" x14ac:dyDescent="0.2">
      <c r="A3836" t="s">
        <v>726</v>
      </c>
      <c r="B3836" t="s">
        <v>11980</v>
      </c>
      <c r="C3836" t="s">
        <v>11984</v>
      </c>
      <c r="D3836" t="s">
        <v>11985</v>
      </c>
      <c r="E3836" t="s">
        <v>3122</v>
      </c>
      <c r="F3836" t="s">
        <v>24</v>
      </c>
      <c r="G3836" t="s">
        <v>24</v>
      </c>
      <c r="H3836">
        <f>17580*(1.01^10)</f>
        <v>19419.256964728978</v>
      </c>
      <c r="I3836">
        <f>83199*(1.01^10)</f>
        <v>91903.456212086821</v>
      </c>
      <c r="J3836" t="s">
        <v>11986</v>
      </c>
      <c r="K3836">
        <f t="shared" si="59"/>
        <v>209.2903081239352</v>
      </c>
    </row>
    <row r="3837" spans="1:11" x14ac:dyDescent="0.2">
      <c r="A3837" t="s">
        <v>726</v>
      </c>
      <c r="B3837" t="s">
        <v>11980</v>
      </c>
      <c r="C3837" t="s">
        <v>11987</v>
      </c>
      <c r="D3837" t="s">
        <v>11988</v>
      </c>
      <c r="E3837" t="s">
        <v>232</v>
      </c>
      <c r="F3837" t="s">
        <v>17</v>
      </c>
      <c r="G3837" t="s">
        <v>12</v>
      </c>
      <c r="H3837">
        <f>40833*(1.01^10)</f>
        <v>45105.035246915722</v>
      </c>
      <c r="I3837">
        <f>193283*(1.01^10)</f>
        <v>213504.6782658539</v>
      </c>
      <c r="J3837" t="s">
        <v>11989</v>
      </c>
      <c r="K3837">
        <f t="shared" si="59"/>
        <v>261.73557913509467</v>
      </c>
    </row>
    <row r="3838" spans="1:11" x14ac:dyDescent="0.2">
      <c r="A3838" t="s">
        <v>726</v>
      </c>
      <c r="B3838" t="s">
        <v>11980</v>
      </c>
      <c r="C3838" t="s">
        <v>11990</v>
      </c>
      <c r="D3838" t="s">
        <v>11991</v>
      </c>
      <c r="E3838" t="s">
        <v>126</v>
      </c>
      <c r="F3838" t="s">
        <v>24</v>
      </c>
      <c r="G3838" t="s">
        <v>12</v>
      </c>
      <c r="H3838">
        <f>47822*(1.01^10)</f>
        <v>52825.239281414637</v>
      </c>
      <c r="I3838">
        <f>237845*(1.01^10)</f>
        <v>262728.84941842797</v>
      </c>
      <c r="J3838" t="s">
        <v>11992</v>
      </c>
      <c r="K3838">
        <f t="shared" si="59"/>
        <v>327.78931689224498</v>
      </c>
    </row>
    <row r="3839" spans="1:11" x14ac:dyDescent="0.2">
      <c r="A3839" t="s">
        <v>726</v>
      </c>
      <c r="B3839" t="s">
        <v>11980</v>
      </c>
      <c r="C3839" t="s">
        <v>11993</v>
      </c>
      <c r="D3839" t="s">
        <v>11994</v>
      </c>
      <c r="E3839" t="s">
        <v>24</v>
      </c>
      <c r="F3839" t="s">
        <v>24</v>
      </c>
      <c r="G3839" t="s">
        <v>17</v>
      </c>
      <c r="H3839">
        <f>1181269*(1.01^10)</f>
        <v>1304855.8734623685</v>
      </c>
      <c r="I3839">
        <f>5585528*(1.01^10)</f>
        <v>6169897.810903796</v>
      </c>
      <c r="J3839" t="s">
        <v>11995</v>
      </c>
      <c r="K3839">
        <f t="shared" si="59"/>
        <v>13002.610947301717</v>
      </c>
    </row>
    <row r="3840" spans="1:11" x14ac:dyDescent="0.2">
      <c r="A3840" t="s">
        <v>726</v>
      </c>
      <c r="B3840" t="s">
        <v>11980</v>
      </c>
      <c r="C3840" t="s">
        <v>11996</v>
      </c>
      <c r="D3840" t="s">
        <v>11997</v>
      </c>
      <c r="E3840" t="s">
        <v>1580</v>
      </c>
      <c r="F3840" t="s">
        <v>17</v>
      </c>
      <c r="G3840" t="s">
        <v>5</v>
      </c>
      <c r="H3840">
        <f>67131*(1.01^10)</f>
        <v>74154.387900979593</v>
      </c>
      <c r="I3840">
        <f>321817*(1.01^10)</f>
        <v>355486.17853345769</v>
      </c>
      <c r="J3840" t="s">
        <v>11998</v>
      </c>
      <c r="K3840">
        <f t="shared" si="59"/>
        <v>709.22628689134945</v>
      </c>
    </row>
    <row r="3841" spans="1:11" x14ac:dyDescent="0.2">
      <c r="A3841" t="s">
        <v>726</v>
      </c>
      <c r="B3841" t="s">
        <v>11980</v>
      </c>
      <c r="C3841" t="s">
        <v>11999</v>
      </c>
      <c r="D3841" t="s">
        <v>12000</v>
      </c>
      <c r="E3841" t="s">
        <v>537</v>
      </c>
      <c r="F3841" t="s">
        <v>12</v>
      </c>
      <c r="G3841" t="s">
        <v>12</v>
      </c>
      <c r="H3841">
        <f>50721*(1.01^10)</f>
        <v>56027.538822981718</v>
      </c>
      <c r="I3841">
        <f>249852*(1.01^10)</f>
        <v>275992.04727824032</v>
      </c>
      <c r="J3841" t="s">
        <v>12001</v>
      </c>
      <c r="K3841">
        <f t="shared" si="59"/>
        <v>287.13068853794283</v>
      </c>
    </row>
    <row r="3842" spans="1:11" x14ac:dyDescent="0.2">
      <c r="A3842" t="s">
        <v>726</v>
      </c>
      <c r="B3842" t="s">
        <v>11980</v>
      </c>
      <c r="C3842" t="s">
        <v>12002</v>
      </c>
      <c r="D3842" t="s">
        <v>12003</v>
      </c>
      <c r="E3842" t="s">
        <v>789</v>
      </c>
      <c r="F3842" t="s">
        <v>24</v>
      </c>
      <c r="G3842" t="s">
        <v>12</v>
      </c>
      <c r="H3842">
        <f>31843*(1.01^10)</f>
        <v>35174.482339468996</v>
      </c>
      <c r="I3842">
        <f>158191*(1.01^10)</f>
        <v>174741.27864092388</v>
      </c>
      <c r="J3842" t="s">
        <v>12004</v>
      </c>
      <c r="K3842">
        <f t="shared" si="59"/>
        <v>218.82168118828477</v>
      </c>
    </row>
    <row r="3843" spans="1:11" x14ac:dyDescent="0.2">
      <c r="A3843" t="s">
        <v>726</v>
      </c>
      <c r="B3843" t="s">
        <v>11980</v>
      </c>
      <c r="C3843" t="s">
        <v>12005</v>
      </c>
      <c r="D3843" t="s">
        <v>12006</v>
      </c>
      <c r="E3843" t="s">
        <v>97</v>
      </c>
      <c r="F3843" t="s">
        <v>24</v>
      </c>
      <c r="G3843" t="s">
        <v>12</v>
      </c>
      <c r="H3843">
        <f>17277*(1.01^10)</f>
        <v>19084.556460729385</v>
      </c>
      <c r="I3843">
        <f>92926*(1.01^10)</f>
        <v>102648.11562596161</v>
      </c>
      <c r="J3843" t="s">
        <v>12007</v>
      </c>
      <c r="K3843">
        <f t="shared" ref="K3843:K3906" si="60">I3843/J3843</f>
        <v>208.76507619298283</v>
      </c>
    </row>
    <row r="3844" spans="1:11" x14ac:dyDescent="0.2">
      <c r="A3844" t="s">
        <v>726</v>
      </c>
      <c r="B3844" t="s">
        <v>11980</v>
      </c>
      <c r="C3844" t="s">
        <v>12008</v>
      </c>
      <c r="D3844" t="s">
        <v>12009</v>
      </c>
      <c r="E3844" t="s">
        <v>427</v>
      </c>
      <c r="F3844" t="s">
        <v>12</v>
      </c>
      <c r="G3844" t="s">
        <v>12</v>
      </c>
      <c r="H3844">
        <f>13615*(1.01^10)</f>
        <v>15039.430237473553</v>
      </c>
      <c r="I3844">
        <f>75986*(1.01^10)</f>
        <v>83935.816821495799</v>
      </c>
      <c r="J3844" t="s">
        <v>12010</v>
      </c>
      <c r="K3844">
        <f t="shared" si="60"/>
        <v>168.43514272371613</v>
      </c>
    </row>
    <row r="3845" spans="1:11" x14ac:dyDescent="0.2">
      <c r="A3845" t="s">
        <v>726</v>
      </c>
      <c r="B3845" t="s">
        <v>11980</v>
      </c>
      <c r="C3845" t="s">
        <v>12011</v>
      </c>
      <c r="D3845" t="s">
        <v>12012</v>
      </c>
      <c r="E3845" t="s">
        <v>537</v>
      </c>
      <c r="F3845" t="s">
        <v>24</v>
      </c>
      <c r="G3845" t="s">
        <v>12</v>
      </c>
      <c r="H3845">
        <f>26922*(1.01^10)</f>
        <v>29738.636860320454</v>
      </c>
      <c r="I3845">
        <f>145252*(1.01^10)</f>
        <v>160448.57296022831</v>
      </c>
      <c r="J3845" t="s">
        <v>12013</v>
      </c>
      <c r="K3845">
        <f t="shared" si="60"/>
        <v>86.863288677384531</v>
      </c>
    </row>
    <row r="3846" spans="1:11" x14ac:dyDescent="0.2">
      <c r="A3846" t="s">
        <v>726</v>
      </c>
      <c r="B3846" t="s">
        <v>12014</v>
      </c>
      <c r="C3846" t="s">
        <v>12015</v>
      </c>
      <c r="D3846" t="s">
        <v>12016</v>
      </c>
      <c r="E3846" t="s">
        <v>998</v>
      </c>
      <c r="F3846" t="s">
        <v>24</v>
      </c>
      <c r="G3846" t="s">
        <v>12</v>
      </c>
      <c r="H3846">
        <f>32413*(1.01^10)</f>
        <v>35804.116950953379</v>
      </c>
      <c r="I3846">
        <f>171000*(1.01^10)</f>
        <v>188890.38344531602</v>
      </c>
      <c r="J3846" t="s">
        <v>12017</v>
      </c>
      <c r="K3846">
        <f t="shared" si="60"/>
        <v>150.26887403130974</v>
      </c>
    </row>
    <row r="3847" spans="1:11" x14ac:dyDescent="0.2">
      <c r="A3847" t="s">
        <v>726</v>
      </c>
      <c r="B3847" t="s">
        <v>12014</v>
      </c>
      <c r="C3847" t="s">
        <v>12018</v>
      </c>
      <c r="D3847" t="s">
        <v>12019</v>
      </c>
      <c r="E3847" t="s">
        <v>1545</v>
      </c>
      <c r="F3847" t="s">
        <v>24</v>
      </c>
      <c r="G3847" t="s">
        <v>12</v>
      </c>
      <c r="H3847">
        <f>42257*(1.01^10)</f>
        <v>46678.017153501278</v>
      </c>
      <c r="I3847">
        <f>218041*(1.01^10)</f>
        <v>240852.91284678449</v>
      </c>
      <c r="J3847" t="s">
        <v>12020</v>
      </c>
      <c r="K3847">
        <f t="shared" si="60"/>
        <v>174.33491787862687</v>
      </c>
    </row>
    <row r="3848" spans="1:11" x14ac:dyDescent="0.2">
      <c r="A3848" t="s">
        <v>726</v>
      </c>
      <c r="B3848" t="s">
        <v>12014</v>
      </c>
      <c r="C3848" t="s">
        <v>12021</v>
      </c>
      <c r="D3848" t="s">
        <v>12022</v>
      </c>
      <c r="E3848" t="s">
        <v>324</v>
      </c>
      <c r="F3848" t="s">
        <v>24</v>
      </c>
      <c r="G3848" t="s">
        <v>17</v>
      </c>
      <c r="H3848">
        <f>37840*(1.01^10)</f>
        <v>41798.901225559988</v>
      </c>
      <c r="I3848">
        <f>180641*(1.01^10)</f>
        <v>199540.04535640543</v>
      </c>
      <c r="J3848" t="s">
        <v>12023</v>
      </c>
      <c r="K3848">
        <f t="shared" si="60"/>
        <v>128.19098745977141</v>
      </c>
    </row>
    <row r="3849" spans="1:11" x14ac:dyDescent="0.2">
      <c r="A3849" t="s">
        <v>726</v>
      </c>
      <c r="B3849" t="s">
        <v>12014</v>
      </c>
      <c r="C3849" t="s">
        <v>12024</v>
      </c>
      <c r="D3849" t="s">
        <v>12025</v>
      </c>
      <c r="E3849" t="s">
        <v>131</v>
      </c>
      <c r="F3849" t="s">
        <v>24</v>
      </c>
      <c r="G3849" t="s">
        <v>24</v>
      </c>
      <c r="H3849">
        <f>14657*(1.01^10)</f>
        <v>16190.446492152028</v>
      </c>
      <c r="I3849">
        <f>75606*(1.01^10)</f>
        <v>83516.060413839543</v>
      </c>
      <c r="J3849" t="s">
        <v>12026</v>
      </c>
      <c r="K3849">
        <f t="shared" si="60"/>
        <v>110.10304888709496</v>
      </c>
    </row>
    <row r="3850" spans="1:11" x14ac:dyDescent="0.2">
      <c r="A3850" t="s">
        <v>726</v>
      </c>
      <c r="B3850" t="s">
        <v>12014</v>
      </c>
      <c r="C3850" t="s">
        <v>12027</v>
      </c>
      <c r="D3850" t="s">
        <v>12028</v>
      </c>
      <c r="E3850" t="s">
        <v>789</v>
      </c>
      <c r="F3850" t="s">
        <v>24</v>
      </c>
      <c r="G3850" t="s">
        <v>17</v>
      </c>
      <c r="H3850">
        <f>74287*(1.01^10)</f>
        <v>82059.063830422165</v>
      </c>
      <c r="I3850">
        <f>359325*(1.01^10)</f>
        <v>396918.34521338117</v>
      </c>
      <c r="J3850" t="s">
        <v>12029</v>
      </c>
      <c r="K3850">
        <f t="shared" si="60"/>
        <v>495.96131739187547</v>
      </c>
    </row>
    <row r="3851" spans="1:11" x14ac:dyDescent="0.2">
      <c r="A3851" t="s">
        <v>726</v>
      </c>
      <c r="B3851" t="s">
        <v>12014</v>
      </c>
      <c r="C3851" t="s">
        <v>12030</v>
      </c>
      <c r="D3851" t="s">
        <v>12031</v>
      </c>
      <c r="E3851" t="s">
        <v>837</v>
      </c>
      <c r="F3851" t="s">
        <v>24</v>
      </c>
      <c r="G3851" t="s">
        <v>24</v>
      </c>
      <c r="H3851">
        <f>21729*(1.01^10)</f>
        <v>24002.334163060066</v>
      </c>
      <c r="I3851">
        <f>118902*(1.01^10)</f>
        <v>131341.77995564305</v>
      </c>
      <c r="J3851" t="s">
        <v>12032</v>
      </c>
      <c r="K3851">
        <f t="shared" si="60"/>
        <v>139.3962591247693</v>
      </c>
    </row>
    <row r="3852" spans="1:11" x14ac:dyDescent="0.2">
      <c r="A3852" t="s">
        <v>726</v>
      </c>
      <c r="B3852" t="s">
        <v>12014</v>
      </c>
      <c r="C3852" t="s">
        <v>12033</v>
      </c>
      <c r="D3852" t="s">
        <v>12034</v>
      </c>
      <c r="E3852" t="s">
        <v>1328</v>
      </c>
      <c r="F3852" t="s">
        <v>12</v>
      </c>
      <c r="G3852" t="s">
        <v>17</v>
      </c>
      <c r="H3852">
        <f>40543*(1.01^10)</f>
        <v>44784.694830546476</v>
      </c>
      <c r="I3852">
        <f>220855*(1.01^10)</f>
        <v>243961.31950769163</v>
      </c>
      <c r="J3852" t="s">
        <v>12035</v>
      </c>
      <c r="K3852">
        <f t="shared" si="60"/>
        <v>227.84736581778438</v>
      </c>
    </row>
    <row r="3853" spans="1:11" x14ac:dyDescent="0.2">
      <c r="A3853" t="s">
        <v>726</v>
      </c>
      <c r="B3853" t="s">
        <v>12014</v>
      </c>
      <c r="C3853" t="s">
        <v>12036</v>
      </c>
      <c r="D3853" t="s">
        <v>2312</v>
      </c>
      <c r="E3853" t="s">
        <v>1589</v>
      </c>
      <c r="F3853" t="s">
        <v>24</v>
      </c>
      <c r="G3853" t="s">
        <v>24</v>
      </c>
      <c r="H3853">
        <f>25753*(1.01^10)</f>
        <v>28447.333595714757</v>
      </c>
      <c r="I3853">
        <f>138643*(1.01^10)</f>
        <v>153148.12533338566</v>
      </c>
      <c r="J3853" t="s">
        <v>12037</v>
      </c>
      <c r="K3853">
        <f t="shared" si="60"/>
        <v>157.54529579263061</v>
      </c>
    </row>
    <row r="3854" spans="1:11" x14ac:dyDescent="0.2">
      <c r="A3854" t="s">
        <v>726</v>
      </c>
      <c r="B3854" t="s">
        <v>12014</v>
      </c>
      <c r="C3854" t="s">
        <v>12038</v>
      </c>
      <c r="D3854" t="s">
        <v>12039</v>
      </c>
      <c r="E3854" t="s">
        <v>142</v>
      </c>
      <c r="F3854" t="s">
        <v>24</v>
      </c>
      <c r="G3854" t="s">
        <v>24</v>
      </c>
      <c r="H3854">
        <f>19218*(1.01^10)</f>
        <v>21228.628006152532</v>
      </c>
      <c r="I3854">
        <f>97916*(1.01^10)</f>
        <v>108160.18003176352</v>
      </c>
      <c r="J3854" t="s">
        <v>12040</v>
      </c>
      <c r="K3854">
        <f t="shared" si="60"/>
        <v>210.11550660314012</v>
      </c>
    </row>
    <row r="3855" spans="1:11" x14ac:dyDescent="0.2">
      <c r="A3855" t="s">
        <v>726</v>
      </c>
      <c r="B3855" t="s">
        <v>12014</v>
      </c>
      <c r="C3855" t="s">
        <v>12041</v>
      </c>
      <c r="D3855" t="s">
        <v>12042</v>
      </c>
      <c r="E3855" t="s">
        <v>51</v>
      </c>
      <c r="F3855" t="s">
        <v>11</v>
      </c>
      <c r="G3855" t="s">
        <v>12</v>
      </c>
      <c r="H3855">
        <f>34516*(1.01^10)</f>
        <v>38127.137280693139</v>
      </c>
      <c r="I3855">
        <f>175339*(1.01^10)</f>
        <v>193683.33884747524</v>
      </c>
      <c r="J3855" t="s">
        <v>12043</v>
      </c>
      <c r="K3855">
        <f t="shared" si="60"/>
        <v>165.65126035651502</v>
      </c>
    </row>
    <row r="3856" spans="1:11" x14ac:dyDescent="0.2">
      <c r="A3856" t="s">
        <v>726</v>
      </c>
      <c r="B3856" t="s">
        <v>1522</v>
      </c>
      <c r="C3856" t="s">
        <v>12044</v>
      </c>
      <c r="D3856" t="s">
        <v>12045</v>
      </c>
      <c r="E3856" t="s">
        <v>674</v>
      </c>
      <c r="F3856" t="s">
        <v>12</v>
      </c>
      <c r="G3856" t="s">
        <v>12</v>
      </c>
      <c r="H3856">
        <f>15982*(1.01^10)</f>
        <v>17654.070808321874</v>
      </c>
      <c r="I3856">
        <f>78692*(1.01^10)</f>
        <v>86924.92429285853</v>
      </c>
      <c r="J3856" t="s">
        <v>12046</v>
      </c>
      <c r="K3856">
        <f t="shared" si="60"/>
        <v>115.01682208127087</v>
      </c>
    </row>
    <row r="3857" spans="1:11" x14ac:dyDescent="0.2">
      <c r="A3857" t="s">
        <v>726</v>
      </c>
      <c r="B3857" t="s">
        <v>1522</v>
      </c>
      <c r="C3857" t="s">
        <v>12047</v>
      </c>
      <c r="D3857" t="s">
        <v>12048</v>
      </c>
      <c r="E3857" t="s">
        <v>542</v>
      </c>
      <c r="F3857" t="s">
        <v>24</v>
      </c>
      <c r="G3857" t="s">
        <v>92</v>
      </c>
      <c r="H3857">
        <f>81561*(1.01^10)</f>
        <v>90094.085170663267</v>
      </c>
      <c r="I3857">
        <f>403995*(1.01^10)</f>
        <v>446261.81555549963</v>
      </c>
      <c r="J3857" t="s">
        <v>12049</v>
      </c>
      <c r="K3857">
        <f t="shared" si="60"/>
        <v>417.20336099381063</v>
      </c>
    </row>
    <row r="3858" spans="1:11" x14ac:dyDescent="0.2">
      <c r="A3858" t="s">
        <v>726</v>
      </c>
      <c r="B3858" t="s">
        <v>1522</v>
      </c>
      <c r="C3858" t="s">
        <v>12050</v>
      </c>
      <c r="D3858" t="s">
        <v>12051</v>
      </c>
      <c r="E3858" t="s">
        <v>764</v>
      </c>
      <c r="F3858" t="s">
        <v>24</v>
      </c>
      <c r="G3858" t="s">
        <v>24</v>
      </c>
      <c r="H3858">
        <f>17049*(1.01^10)</f>
        <v>18832.70261613563</v>
      </c>
      <c r="I3858">
        <f>87577*(1.01^10)</f>
        <v>96739.491877137072</v>
      </c>
      <c r="J3858" t="s">
        <v>12052</v>
      </c>
      <c r="K3858">
        <f t="shared" si="60"/>
        <v>153.67965008873384</v>
      </c>
    </row>
    <row r="3859" spans="1:11" x14ac:dyDescent="0.2">
      <c r="A3859" t="s">
        <v>726</v>
      </c>
      <c r="B3859" t="s">
        <v>1522</v>
      </c>
      <c r="C3859" t="s">
        <v>12053</v>
      </c>
      <c r="D3859" t="s">
        <v>12054</v>
      </c>
      <c r="E3859" t="s">
        <v>1223</v>
      </c>
      <c r="F3859" t="s">
        <v>24</v>
      </c>
      <c r="G3859" t="s">
        <v>17</v>
      </c>
      <c r="H3859">
        <f>40489*(1.01^10)</f>
        <v>44725.045235774269</v>
      </c>
      <c r="I3859">
        <f>219065*(1.01^10)</f>
        <v>241984.04590320558</v>
      </c>
      <c r="J3859" t="s">
        <v>12055</v>
      </c>
      <c r="K3859">
        <f t="shared" si="60"/>
        <v>214.56445824608548</v>
      </c>
    </row>
    <row r="3860" spans="1:11" x14ac:dyDescent="0.2">
      <c r="A3860" t="s">
        <v>726</v>
      </c>
      <c r="B3860" t="s">
        <v>1522</v>
      </c>
      <c r="C3860" t="s">
        <v>12056</v>
      </c>
      <c r="D3860" t="s">
        <v>12057</v>
      </c>
      <c r="E3860" t="s">
        <v>164</v>
      </c>
      <c r="F3860" t="s">
        <v>24</v>
      </c>
      <c r="G3860" t="s">
        <v>12</v>
      </c>
      <c r="H3860">
        <f>14941*(1.01^10)</f>
        <v>16504.159175768811</v>
      </c>
      <c r="I3860">
        <f>74781*(1.01^10)</f>
        <v>82604.747160375307</v>
      </c>
      <c r="J3860" t="s">
        <v>12058</v>
      </c>
      <c r="K3860">
        <f t="shared" si="60"/>
        <v>132.14684423419055</v>
      </c>
    </row>
    <row r="3861" spans="1:11" x14ac:dyDescent="0.2">
      <c r="A3861" t="s">
        <v>726</v>
      </c>
      <c r="B3861" t="s">
        <v>1522</v>
      </c>
      <c r="C3861" t="s">
        <v>12059</v>
      </c>
      <c r="D3861" t="s">
        <v>12060</v>
      </c>
      <c r="E3861" t="s">
        <v>253</v>
      </c>
      <c r="F3861" t="s">
        <v>24</v>
      </c>
      <c r="G3861" t="s">
        <v>5</v>
      </c>
      <c r="H3861">
        <f>328601*(1.01^10)</f>
        <v>362979.93503224727</v>
      </c>
      <c r="I3861">
        <f>1533821*(1.01^10)</f>
        <v>1694292.6130203395</v>
      </c>
      <c r="J3861" t="s">
        <v>12061</v>
      </c>
      <c r="K3861">
        <f t="shared" si="60"/>
        <v>1519.7210913367446</v>
      </c>
    </row>
    <row r="3862" spans="1:11" x14ac:dyDescent="0.2">
      <c r="A3862" t="s">
        <v>726</v>
      </c>
      <c r="B3862" t="s">
        <v>1522</v>
      </c>
      <c r="C3862" t="s">
        <v>12062</v>
      </c>
      <c r="D3862" t="s">
        <v>12063</v>
      </c>
      <c r="E3862" t="s">
        <v>142</v>
      </c>
      <c r="F3862" t="s">
        <v>24</v>
      </c>
      <c r="G3862" t="s">
        <v>12</v>
      </c>
      <c r="H3862">
        <f>11929*(1.01^10)</f>
        <v>13177.037334030261</v>
      </c>
      <c r="I3862">
        <f>57415*(1.01^10)</f>
        <v>63421.87933048432</v>
      </c>
      <c r="J3862" t="s">
        <v>12064</v>
      </c>
      <c r="K3862">
        <f t="shared" si="60"/>
        <v>158.17212173240887</v>
      </c>
    </row>
    <row r="3863" spans="1:11" x14ac:dyDescent="0.2">
      <c r="A3863" t="s">
        <v>726</v>
      </c>
      <c r="B3863" t="s">
        <v>1522</v>
      </c>
      <c r="C3863" t="s">
        <v>12065</v>
      </c>
      <c r="D3863" t="s">
        <v>12066</v>
      </c>
      <c r="E3863" t="s">
        <v>16</v>
      </c>
      <c r="F3863" t="s">
        <v>24</v>
      </c>
      <c r="G3863" t="s">
        <v>17</v>
      </c>
      <c r="H3863">
        <f>19452*(1.01^10)</f>
        <v>21487.109583498754</v>
      </c>
      <c r="I3863">
        <f>90460*(1.01^10)</f>
        <v>99924.117464697585</v>
      </c>
      <c r="J3863" t="s">
        <v>12067</v>
      </c>
      <c r="K3863">
        <f t="shared" si="60"/>
        <v>184.00072273345486</v>
      </c>
    </row>
    <row r="3864" spans="1:11" x14ac:dyDescent="0.2">
      <c r="A3864" t="s">
        <v>726</v>
      </c>
      <c r="B3864" t="s">
        <v>1522</v>
      </c>
      <c r="C3864" t="s">
        <v>12068</v>
      </c>
      <c r="D3864" t="s">
        <v>12069</v>
      </c>
      <c r="E3864" t="s">
        <v>368</v>
      </c>
      <c r="F3864" t="s">
        <v>24</v>
      </c>
      <c r="G3864" t="s">
        <v>12</v>
      </c>
      <c r="H3864">
        <f>58885*(1.01^10)</f>
        <v>65045.673854838795</v>
      </c>
      <c r="I3864">
        <f>314124*(1.01^10)</f>
        <v>346988.3205226693</v>
      </c>
      <c r="J3864" t="s">
        <v>12070</v>
      </c>
      <c r="K3864">
        <f t="shared" si="60"/>
        <v>276.82549267910099</v>
      </c>
    </row>
    <row r="3865" spans="1:11" x14ac:dyDescent="0.2">
      <c r="A3865" t="s">
        <v>726</v>
      </c>
      <c r="B3865" t="s">
        <v>1522</v>
      </c>
      <c r="C3865" t="s">
        <v>12071</v>
      </c>
      <c r="D3865" t="s">
        <v>12072</v>
      </c>
      <c r="E3865" t="s">
        <v>410</v>
      </c>
      <c r="F3865" t="s">
        <v>12</v>
      </c>
      <c r="G3865" t="s">
        <v>12</v>
      </c>
      <c r="H3865">
        <f>57893*(1.01^10)</f>
        <v>63949.888706430873</v>
      </c>
      <c r="I3865">
        <f>285550*(1.01^10)</f>
        <v>315424.84791116952</v>
      </c>
      <c r="J3865" t="s">
        <v>12073</v>
      </c>
      <c r="K3865">
        <f t="shared" si="60"/>
        <v>275.38798307271031</v>
      </c>
    </row>
    <row r="3866" spans="1:11" x14ac:dyDescent="0.2">
      <c r="A3866" t="s">
        <v>726</v>
      </c>
      <c r="B3866" t="s">
        <v>1522</v>
      </c>
      <c r="C3866" t="s">
        <v>12074</v>
      </c>
      <c r="D3866" t="s">
        <v>12075</v>
      </c>
      <c r="E3866" t="s">
        <v>764</v>
      </c>
      <c r="F3866" t="s">
        <v>24</v>
      </c>
      <c r="G3866" t="s">
        <v>24</v>
      </c>
      <c r="H3866">
        <f>16133*(1.01^10)</f>
        <v>17820.868749258967</v>
      </c>
      <c r="I3866">
        <f>78130*(1.01^10)</f>
        <v>86304.126658377427</v>
      </c>
      <c r="J3866" t="s">
        <v>12076</v>
      </c>
      <c r="K3866">
        <f t="shared" si="60"/>
        <v>155.93233206873228</v>
      </c>
    </row>
    <row r="3867" spans="1:11" x14ac:dyDescent="0.2">
      <c r="A3867" t="s">
        <v>726</v>
      </c>
      <c r="B3867" t="s">
        <v>1522</v>
      </c>
      <c r="C3867" t="s">
        <v>12077</v>
      </c>
      <c r="D3867" t="s">
        <v>12078</v>
      </c>
      <c r="E3867" t="s">
        <v>23</v>
      </c>
      <c r="F3867" t="s">
        <v>24</v>
      </c>
      <c r="G3867" t="s">
        <v>17</v>
      </c>
      <c r="H3867">
        <f>39008*(1.01^10)</f>
        <v>43089.099868040277</v>
      </c>
      <c r="I3867">
        <f>178912*(1.01^10)</f>
        <v>197630.15370156948</v>
      </c>
      <c r="J3867" t="s">
        <v>12079</v>
      </c>
      <c r="K3867">
        <f t="shared" si="60"/>
        <v>247.58302676577824</v>
      </c>
    </row>
    <row r="3868" spans="1:11" x14ac:dyDescent="0.2">
      <c r="A3868" t="s">
        <v>726</v>
      </c>
      <c r="B3868" t="s">
        <v>1522</v>
      </c>
      <c r="C3868" t="s">
        <v>12080</v>
      </c>
      <c r="D3868" t="s">
        <v>12081</v>
      </c>
      <c r="E3868" t="s">
        <v>1656</v>
      </c>
      <c r="F3868" t="s">
        <v>24</v>
      </c>
      <c r="G3868" t="s">
        <v>12</v>
      </c>
      <c r="H3868">
        <f>34044*(1.01^10)</f>
        <v>37605.755637499053</v>
      </c>
      <c r="I3868">
        <f>154896*(1.01^10)</f>
        <v>171101.54873769396</v>
      </c>
      <c r="J3868" t="s">
        <v>12082</v>
      </c>
      <c r="K3868">
        <f t="shared" si="60"/>
        <v>339.9945939418912</v>
      </c>
    </row>
    <row r="3869" spans="1:11" x14ac:dyDescent="0.2">
      <c r="A3869" t="s">
        <v>726</v>
      </c>
      <c r="B3869" t="s">
        <v>1522</v>
      </c>
      <c r="C3869" t="s">
        <v>12083</v>
      </c>
      <c r="D3869" t="s">
        <v>12084</v>
      </c>
      <c r="E3869" t="s">
        <v>333</v>
      </c>
      <c r="F3869" t="s">
        <v>24</v>
      </c>
      <c r="G3869" t="s">
        <v>17</v>
      </c>
      <c r="H3869">
        <f>50619*(1.01^10)</f>
        <v>55914.86736618977</v>
      </c>
      <c r="I3869">
        <f>247140*(1.01^10)</f>
        <v>272996.31207412516</v>
      </c>
      <c r="J3869" t="s">
        <v>12085</v>
      </c>
      <c r="K3869">
        <f t="shared" si="60"/>
        <v>402.9375741788034</v>
      </c>
    </row>
    <row r="3870" spans="1:11" x14ac:dyDescent="0.2">
      <c r="A3870" t="s">
        <v>726</v>
      </c>
      <c r="B3870" t="s">
        <v>84</v>
      </c>
      <c r="C3870" t="s">
        <v>12086</v>
      </c>
      <c r="D3870" t="s">
        <v>12087</v>
      </c>
      <c r="E3870" t="s">
        <v>16</v>
      </c>
      <c r="F3870" t="s">
        <v>24</v>
      </c>
      <c r="G3870" t="s">
        <v>11</v>
      </c>
      <c r="H3870">
        <f>32097*(1.01^10)</f>
        <v>35455.05635932344</v>
      </c>
      <c r="I3870">
        <f>162828*(1.01^10)</f>
        <v>179863.41143645564</v>
      </c>
      <c r="J3870" t="s">
        <v>12088</v>
      </c>
      <c r="K3870">
        <f t="shared" si="60"/>
        <v>201.28770149093148</v>
      </c>
    </row>
    <row r="3871" spans="1:11" x14ac:dyDescent="0.2">
      <c r="A3871" t="s">
        <v>726</v>
      </c>
      <c r="B3871" t="s">
        <v>84</v>
      </c>
      <c r="C3871" t="s">
        <v>12089</v>
      </c>
      <c r="D3871" t="s">
        <v>12090</v>
      </c>
      <c r="E3871" t="s">
        <v>1195</v>
      </c>
      <c r="F3871" t="s">
        <v>11</v>
      </c>
      <c r="G3871" t="s">
        <v>11</v>
      </c>
      <c r="H3871">
        <f>49081*(1.01^10)</f>
        <v>54215.958537307342</v>
      </c>
      <c r="I3871">
        <f>268062*(1.01^10)</f>
        <v>296107.21618197835</v>
      </c>
      <c r="J3871" t="s">
        <v>12091</v>
      </c>
      <c r="K3871">
        <f t="shared" si="60"/>
        <v>171.67921891806301</v>
      </c>
    </row>
    <row r="3872" spans="1:11" x14ac:dyDescent="0.2">
      <c r="A3872" t="s">
        <v>726</v>
      </c>
      <c r="B3872" t="s">
        <v>84</v>
      </c>
      <c r="C3872" t="s">
        <v>12092</v>
      </c>
      <c r="D3872" t="s">
        <v>12093</v>
      </c>
      <c r="E3872" t="s">
        <v>1223</v>
      </c>
      <c r="F3872" t="s">
        <v>12</v>
      </c>
      <c r="G3872" t="s">
        <v>92</v>
      </c>
      <c r="H3872">
        <f>174916*(1.01^10)</f>
        <v>193216.0836884263</v>
      </c>
      <c r="I3872">
        <f>851948*(1.01^10)</f>
        <v>941080.6104998251</v>
      </c>
      <c r="J3872" t="s">
        <v>12094</v>
      </c>
      <c r="K3872">
        <f t="shared" si="60"/>
        <v>494.96060258956976</v>
      </c>
    </row>
    <row r="3873" spans="1:11" x14ac:dyDescent="0.2">
      <c r="A3873" t="s">
        <v>726</v>
      </c>
      <c r="B3873" t="s">
        <v>84</v>
      </c>
      <c r="C3873" t="s">
        <v>12095</v>
      </c>
      <c r="D3873" t="s">
        <v>12096</v>
      </c>
      <c r="E3873" t="s">
        <v>126</v>
      </c>
      <c r="F3873" t="s">
        <v>24</v>
      </c>
      <c r="G3873" t="s">
        <v>24</v>
      </c>
      <c r="H3873">
        <f>17986*(1.01^10)</f>
        <v>19867.73354764593</v>
      </c>
      <c r="I3873">
        <f>85958*(1.01^10)</f>
        <v>94951.108656096345</v>
      </c>
      <c r="J3873" t="s">
        <v>12097</v>
      </c>
      <c r="K3873">
        <f t="shared" si="60"/>
        <v>64.55936837961768</v>
      </c>
    </row>
    <row r="3874" spans="1:11" x14ac:dyDescent="0.2">
      <c r="A3874" t="s">
        <v>726</v>
      </c>
      <c r="B3874" t="s">
        <v>84</v>
      </c>
      <c r="C3874" t="s">
        <v>12098</v>
      </c>
      <c r="D3874" t="s">
        <v>12099</v>
      </c>
      <c r="E3874" t="s">
        <v>185</v>
      </c>
      <c r="F3874" t="s">
        <v>24</v>
      </c>
      <c r="G3874" t="s">
        <v>12</v>
      </c>
      <c r="H3874">
        <f>15560*(1.01^10)</f>
        <v>17187.920271398347</v>
      </c>
      <c r="I3874">
        <f>79315*(1.01^10)</f>
        <v>87613.103876989699</v>
      </c>
      <c r="J3874" t="s">
        <v>12100</v>
      </c>
      <c r="K3874">
        <f t="shared" si="60"/>
        <v>116.27079824068002</v>
      </c>
    </row>
    <row r="3875" spans="1:11" x14ac:dyDescent="0.2">
      <c r="A3875" t="s">
        <v>726</v>
      </c>
      <c r="B3875" t="s">
        <v>84</v>
      </c>
      <c r="C3875" t="s">
        <v>12101</v>
      </c>
      <c r="D3875" t="s">
        <v>12102</v>
      </c>
      <c r="E3875" t="s">
        <v>148</v>
      </c>
      <c r="F3875" t="s">
        <v>24</v>
      </c>
      <c r="G3875" t="s">
        <v>12</v>
      </c>
      <c r="H3875">
        <f>29584*(1.01^10)</f>
        <v>32679.140958165081</v>
      </c>
      <c r="I3875">
        <f>139729*(1.01^10)</f>
        <v>154347.74496158224</v>
      </c>
      <c r="J3875" t="s">
        <v>12103</v>
      </c>
      <c r="K3875">
        <f t="shared" si="60"/>
        <v>94.47631847639596</v>
      </c>
    </row>
    <row r="3876" spans="1:11" x14ac:dyDescent="0.2">
      <c r="A3876" t="s">
        <v>726</v>
      </c>
      <c r="B3876" t="s">
        <v>84</v>
      </c>
      <c r="C3876" t="s">
        <v>12104</v>
      </c>
      <c r="D3876" t="s">
        <v>12105</v>
      </c>
      <c r="E3876" t="s">
        <v>777</v>
      </c>
      <c r="F3876" t="s">
        <v>12</v>
      </c>
      <c r="G3876" t="s">
        <v>24</v>
      </c>
      <c r="H3876">
        <f>22762*(1.01^10)</f>
        <v>25143.408818609842</v>
      </c>
      <c r="I3876">
        <f>118187*(1.01^10)</f>
        <v>130551.97513597406</v>
      </c>
      <c r="J3876" t="s">
        <v>12106</v>
      </c>
      <c r="K3876">
        <f t="shared" si="60"/>
        <v>89.174620889850445</v>
      </c>
    </row>
    <row r="3877" spans="1:11" x14ac:dyDescent="0.2">
      <c r="A3877" t="s">
        <v>726</v>
      </c>
      <c r="B3877" t="s">
        <v>84</v>
      </c>
      <c r="C3877" t="s">
        <v>12107</v>
      </c>
      <c r="D3877" t="s">
        <v>3810</v>
      </c>
      <c r="E3877" t="s">
        <v>67</v>
      </c>
      <c r="F3877" t="s">
        <v>24</v>
      </c>
      <c r="G3877" t="s">
        <v>12</v>
      </c>
      <c r="H3877">
        <f>36339*(1.01^10)</f>
        <v>40140.86341531777</v>
      </c>
      <c r="I3877">
        <f>196033*(1.01^10)</f>
        <v>216542.38911073469</v>
      </c>
      <c r="J3877" t="s">
        <v>12108</v>
      </c>
      <c r="K3877">
        <f t="shared" si="60"/>
        <v>111.95167703986267</v>
      </c>
    </row>
    <row r="3878" spans="1:11" x14ac:dyDescent="0.2">
      <c r="A3878" t="s">
        <v>726</v>
      </c>
      <c r="B3878" t="s">
        <v>84</v>
      </c>
      <c r="C3878" t="s">
        <v>12109</v>
      </c>
      <c r="D3878" t="s">
        <v>12110</v>
      </c>
      <c r="E3878" t="s">
        <v>253</v>
      </c>
      <c r="F3878" t="s">
        <v>382</v>
      </c>
      <c r="G3878" t="s">
        <v>12</v>
      </c>
      <c r="H3878">
        <f>25361*(1.01^10)</f>
        <v>28014.321722553563</v>
      </c>
      <c r="I3878">
        <f>125561*(1.01^10)</f>
        <v>138697.45868875628</v>
      </c>
      <c r="J3878" t="s">
        <v>12111</v>
      </c>
      <c r="K3878">
        <f t="shared" si="60"/>
        <v>144.31432368450467</v>
      </c>
    </row>
    <row r="3879" spans="1:11" x14ac:dyDescent="0.2">
      <c r="A3879" t="s">
        <v>726</v>
      </c>
      <c r="B3879" t="s">
        <v>84</v>
      </c>
      <c r="C3879" t="s">
        <v>12112</v>
      </c>
      <c r="D3879" t="s">
        <v>12113</v>
      </c>
      <c r="E3879" t="s">
        <v>537</v>
      </c>
      <c r="F3879" t="s">
        <v>24</v>
      </c>
      <c r="G3879" t="s">
        <v>12</v>
      </c>
      <c r="H3879">
        <f>27255*(1.01^10)</f>
        <v>30106.476028082387</v>
      </c>
      <c r="I3879">
        <f>132498*(1.01^10)</f>
        <v>146360.22237273381</v>
      </c>
      <c r="J3879" t="s">
        <v>12114</v>
      </c>
      <c r="K3879">
        <f t="shared" si="60"/>
        <v>101.14675584991024</v>
      </c>
    </row>
    <row r="3880" spans="1:11" x14ac:dyDescent="0.2">
      <c r="A3880" t="s">
        <v>726</v>
      </c>
      <c r="B3880" t="s">
        <v>1112</v>
      </c>
      <c r="C3880" t="s">
        <v>12115</v>
      </c>
      <c r="D3880" t="s">
        <v>12116</v>
      </c>
      <c r="E3880" t="s">
        <v>542</v>
      </c>
      <c r="F3880" t="s">
        <v>24</v>
      </c>
      <c r="G3880" t="s">
        <v>11</v>
      </c>
      <c r="H3880">
        <f>81853*(1.01^10)</f>
        <v>90416.634831283343</v>
      </c>
      <c r="I3880">
        <f>384660*(1.01^10)</f>
        <v>424903.94676067401</v>
      </c>
      <c r="J3880" t="s">
        <v>12117</v>
      </c>
      <c r="K3880">
        <f t="shared" si="60"/>
        <v>370.93474615525736</v>
      </c>
    </row>
    <row r="3881" spans="1:11" x14ac:dyDescent="0.2">
      <c r="A3881" t="s">
        <v>726</v>
      </c>
      <c r="B3881" t="s">
        <v>1112</v>
      </c>
      <c r="C3881" t="s">
        <v>12118</v>
      </c>
      <c r="D3881" t="s">
        <v>12119</v>
      </c>
      <c r="E3881" t="s">
        <v>612</v>
      </c>
      <c r="F3881" t="s">
        <v>17</v>
      </c>
      <c r="G3881" t="s">
        <v>17</v>
      </c>
      <c r="H3881">
        <f>24328*(1.01^10)</f>
        <v>26873.247067003787</v>
      </c>
      <c r="I3881">
        <f>114568*(1.01^10)</f>
        <v>126554.3476641109</v>
      </c>
      <c r="J3881" t="s">
        <v>12120</v>
      </c>
      <c r="K3881">
        <f t="shared" si="60"/>
        <v>216.49057354231687</v>
      </c>
    </row>
    <row r="3882" spans="1:11" x14ac:dyDescent="0.2">
      <c r="A3882" t="s">
        <v>726</v>
      </c>
      <c r="B3882" t="s">
        <v>1112</v>
      </c>
      <c r="C3882" t="s">
        <v>12121</v>
      </c>
      <c r="D3882" t="s">
        <v>12122</v>
      </c>
      <c r="E3882" t="s">
        <v>333</v>
      </c>
      <c r="F3882" t="s">
        <v>12</v>
      </c>
      <c r="G3882" t="s">
        <v>12</v>
      </c>
      <c r="H3882">
        <f>18375*(1.01^10)</f>
        <v>20297.431554430888</v>
      </c>
      <c r="I3882">
        <f>86221*(1.01^10)</f>
        <v>95241.624275079492</v>
      </c>
      <c r="J3882" t="s">
        <v>12123</v>
      </c>
      <c r="K3882">
        <f t="shared" si="60"/>
        <v>162.54701673595741</v>
      </c>
    </row>
    <row r="3883" spans="1:11" x14ac:dyDescent="0.2">
      <c r="A3883" t="s">
        <v>726</v>
      </c>
      <c r="B3883" t="s">
        <v>1666</v>
      </c>
      <c r="C3883" t="s">
        <v>12124</v>
      </c>
      <c r="D3883" t="s">
        <v>12125</v>
      </c>
      <c r="E3883" t="s">
        <v>3122</v>
      </c>
      <c r="F3883" t="s">
        <v>24</v>
      </c>
      <c r="G3883" t="s">
        <v>17</v>
      </c>
      <c r="H3883">
        <f>28943*(1.01^10)</f>
        <v>31971.0781757765</v>
      </c>
      <c r="I3883">
        <f>132830*(1.01^10)</f>
        <v>146726.95691837033</v>
      </c>
      <c r="J3883" t="s">
        <v>12126</v>
      </c>
      <c r="K3883">
        <f t="shared" si="60"/>
        <v>245.89393478571924</v>
      </c>
    </row>
    <row r="3884" spans="1:11" x14ac:dyDescent="0.2">
      <c r="A3884" t="s">
        <v>726</v>
      </c>
      <c r="B3884" t="s">
        <v>1666</v>
      </c>
      <c r="C3884" t="s">
        <v>12127</v>
      </c>
      <c r="D3884" t="s">
        <v>12128</v>
      </c>
      <c r="E3884" t="s">
        <v>333</v>
      </c>
      <c r="F3884" t="s">
        <v>24</v>
      </c>
      <c r="G3884" t="s">
        <v>12</v>
      </c>
      <c r="H3884">
        <f>20504*(1.01^10)</f>
        <v>22649.172059431341</v>
      </c>
      <c r="I3884">
        <f>97189*(1.01^10)</f>
        <v>107357.11974658958</v>
      </c>
      <c r="J3884" t="s">
        <v>12129</v>
      </c>
      <c r="K3884">
        <f t="shared" si="60"/>
        <v>272.43440061810298</v>
      </c>
    </row>
    <row r="3885" spans="1:11" x14ac:dyDescent="0.2">
      <c r="A3885" t="s">
        <v>726</v>
      </c>
      <c r="B3885" t="s">
        <v>1666</v>
      </c>
      <c r="C3885" t="s">
        <v>12130</v>
      </c>
      <c r="D3885" t="s">
        <v>12131</v>
      </c>
      <c r="E3885" t="s">
        <v>232</v>
      </c>
      <c r="F3885" t="s">
        <v>5</v>
      </c>
      <c r="G3885" t="s">
        <v>17</v>
      </c>
      <c r="H3885">
        <f>93406*(1.01^10)</f>
        <v>103178.33424615899</v>
      </c>
      <c r="I3885">
        <f>439420*(1.01^10)</f>
        <v>485393.0543481916</v>
      </c>
      <c r="J3885" t="s">
        <v>12132</v>
      </c>
      <c r="K3885">
        <f t="shared" si="60"/>
        <v>713.48280626248959</v>
      </c>
    </row>
    <row r="3886" spans="1:11" x14ac:dyDescent="0.2">
      <c r="A3886" t="s">
        <v>726</v>
      </c>
      <c r="B3886" t="s">
        <v>1666</v>
      </c>
      <c r="C3886" t="s">
        <v>12133</v>
      </c>
      <c r="D3886" t="s">
        <v>12134</v>
      </c>
      <c r="E3886" t="s">
        <v>176</v>
      </c>
      <c r="F3886" t="s">
        <v>5</v>
      </c>
      <c r="G3886" t="s">
        <v>24</v>
      </c>
      <c r="H3886">
        <f>16034*(1.01^10)</f>
        <v>17711.511158843256</v>
      </c>
      <c r="I3886">
        <f>79712*(1.01^10)</f>
        <v>88051.638860777952</v>
      </c>
      <c r="J3886" t="s">
        <v>12135</v>
      </c>
      <c r="K3886">
        <f t="shared" si="60"/>
        <v>200.35023561882329</v>
      </c>
    </row>
    <row r="3887" spans="1:11" x14ac:dyDescent="0.2">
      <c r="A3887" t="s">
        <v>726</v>
      </c>
      <c r="B3887" t="s">
        <v>1666</v>
      </c>
      <c r="C3887" t="s">
        <v>12136</v>
      </c>
      <c r="D3887" t="s">
        <v>12137</v>
      </c>
      <c r="E3887" t="s">
        <v>879</v>
      </c>
      <c r="F3887" t="s">
        <v>445</v>
      </c>
      <c r="G3887" t="s">
        <v>12</v>
      </c>
      <c r="H3887">
        <f>28798*(1.01^10)</f>
        <v>31810.907967591873</v>
      </c>
      <c r="I3887">
        <f>140023*(1.01^10)</f>
        <v>154672.50386645313</v>
      </c>
      <c r="J3887" t="s">
        <v>12138</v>
      </c>
      <c r="K3887">
        <f t="shared" si="60"/>
        <v>173.09174844646907</v>
      </c>
    </row>
    <row r="3888" spans="1:11" x14ac:dyDescent="0.2">
      <c r="A3888" t="s">
        <v>726</v>
      </c>
      <c r="B3888" t="s">
        <v>1666</v>
      </c>
      <c r="C3888" t="s">
        <v>12139</v>
      </c>
      <c r="D3888" t="s">
        <v>12140</v>
      </c>
      <c r="E3888" t="s">
        <v>789</v>
      </c>
      <c r="F3888" t="s">
        <v>11</v>
      </c>
      <c r="G3888" t="s">
        <v>24</v>
      </c>
      <c r="H3888">
        <f>14832*(1.01^10)</f>
        <v>16383.755364098988</v>
      </c>
      <c r="I3888">
        <f>68531*(1.01^10)</f>
        <v>75700.85887655527</v>
      </c>
      <c r="J3888" t="s">
        <v>12141</v>
      </c>
      <c r="K3888">
        <f t="shared" si="60"/>
        <v>206.36607944221342</v>
      </c>
    </row>
    <row r="3889" spans="1:11" x14ac:dyDescent="0.2">
      <c r="A3889" t="s">
        <v>726</v>
      </c>
      <c r="B3889" t="s">
        <v>1666</v>
      </c>
      <c r="C3889" t="s">
        <v>12142</v>
      </c>
      <c r="D3889" t="s">
        <v>12143</v>
      </c>
      <c r="E3889" t="s">
        <v>619</v>
      </c>
      <c r="F3889" t="s">
        <v>24</v>
      </c>
      <c r="G3889" t="s">
        <v>12</v>
      </c>
      <c r="H3889">
        <f>40722*(1.01^10)</f>
        <v>44982.422190995079</v>
      </c>
      <c r="I3889">
        <f>194746*(1.01^10)</f>
        <v>215120.74043533049</v>
      </c>
      <c r="J3889" t="s">
        <v>12144</v>
      </c>
      <c r="K3889">
        <f t="shared" si="60"/>
        <v>379.55484693706376</v>
      </c>
    </row>
    <row r="3890" spans="1:11" x14ac:dyDescent="0.2">
      <c r="A3890" t="s">
        <v>726</v>
      </c>
      <c r="B3890" t="s">
        <v>1666</v>
      </c>
      <c r="C3890" t="s">
        <v>12145</v>
      </c>
      <c r="D3890" t="s">
        <v>2584</v>
      </c>
      <c r="E3890" t="s">
        <v>1545</v>
      </c>
      <c r="F3890" t="s">
        <v>24</v>
      </c>
      <c r="G3890" t="s">
        <v>12</v>
      </c>
      <c r="H3890">
        <f>38058*(1.01^10)</f>
        <v>42039.708848899631</v>
      </c>
      <c r="I3890">
        <f>212973*(1.01^10)</f>
        <v>235254.68791520051</v>
      </c>
      <c r="J3890" t="s">
        <v>12146</v>
      </c>
      <c r="K3890">
        <f t="shared" si="60"/>
        <v>397.08573717488991</v>
      </c>
    </row>
    <row r="3891" spans="1:11" x14ac:dyDescent="0.2">
      <c r="A3891" t="s">
        <v>726</v>
      </c>
      <c r="B3891" t="s">
        <v>1666</v>
      </c>
      <c r="C3891" t="s">
        <v>12147</v>
      </c>
      <c r="D3891" t="s">
        <v>12148</v>
      </c>
      <c r="E3891" t="s">
        <v>1545</v>
      </c>
      <c r="F3891" t="s">
        <v>24</v>
      </c>
      <c r="G3891" t="s">
        <v>12</v>
      </c>
      <c r="H3891">
        <f>29705*(1.01^10)</f>
        <v>32812.800235339841</v>
      </c>
      <c r="I3891">
        <f>160181*(1.01^10)</f>
        <v>176939.47667049218</v>
      </c>
      <c r="J3891" t="s">
        <v>12149</v>
      </c>
      <c r="K3891">
        <f t="shared" si="60"/>
        <v>336.85807988453365</v>
      </c>
    </row>
    <row r="3892" spans="1:11" x14ac:dyDescent="0.2">
      <c r="A3892" t="s">
        <v>726</v>
      </c>
      <c r="B3892" t="s">
        <v>1666</v>
      </c>
      <c r="C3892" t="s">
        <v>12150</v>
      </c>
      <c r="D3892" t="s">
        <v>12151</v>
      </c>
      <c r="E3892" t="s">
        <v>998</v>
      </c>
      <c r="F3892" t="s">
        <v>103</v>
      </c>
      <c r="G3892" t="s">
        <v>12</v>
      </c>
      <c r="H3892">
        <f>26193*(1.01^10)</f>
        <v>28933.367330895686</v>
      </c>
      <c r="I3892">
        <f>135731*(1.01^10)</f>
        <v>149931.46570418825</v>
      </c>
      <c r="J3892" t="s">
        <v>12152</v>
      </c>
      <c r="K3892">
        <f t="shared" si="60"/>
        <v>153.01082125385108</v>
      </c>
    </row>
    <row r="3893" spans="1:11" x14ac:dyDescent="0.2">
      <c r="A3893" t="s">
        <v>726</v>
      </c>
      <c r="B3893" t="s">
        <v>1666</v>
      </c>
      <c r="C3893" t="s">
        <v>12153</v>
      </c>
      <c r="D3893" t="s">
        <v>12154</v>
      </c>
      <c r="E3893" t="s">
        <v>1580</v>
      </c>
      <c r="F3893" t="s">
        <v>24</v>
      </c>
      <c r="G3893" t="s">
        <v>17</v>
      </c>
      <c r="H3893">
        <f>56757*(1.01^10)</f>
        <v>62695.037971963749</v>
      </c>
      <c r="I3893">
        <f>322492*(1.01^10)</f>
        <v>356231.79846811027</v>
      </c>
      <c r="J3893" t="s">
        <v>12155</v>
      </c>
      <c r="K3893">
        <f t="shared" si="60"/>
        <v>975.58452969815517</v>
      </c>
    </row>
    <row r="3894" spans="1:11" x14ac:dyDescent="0.2">
      <c r="A3894" t="s">
        <v>726</v>
      </c>
      <c r="B3894" t="s">
        <v>1666</v>
      </c>
      <c r="C3894" t="s">
        <v>12156</v>
      </c>
      <c r="D3894" t="s">
        <v>12157</v>
      </c>
      <c r="E3894" t="s">
        <v>333</v>
      </c>
      <c r="F3894" t="s">
        <v>24</v>
      </c>
      <c r="G3894" t="s">
        <v>12</v>
      </c>
      <c r="H3894">
        <f>24327*(1.01^10)</f>
        <v>26872.142444878376</v>
      </c>
      <c r="I3894">
        <f>141968*(1.01^10)</f>
        <v>156820.99390037791</v>
      </c>
      <c r="J3894" t="s">
        <v>12158</v>
      </c>
      <c r="K3894">
        <f t="shared" si="60"/>
        <v>479.42352748797526</v>
      </c>
    </row>
    <row r="3895" spans="1:11" x14ac:dyDescent="0.2">
      <c r="A3895" t="s">
        <v>726</v>
      </c>
      <c r="B3895" t="s">
        <v>1666</v>
      </c>
      <c r="C3895" t="s">
        <v>12159</v>
      </c>
      <c r="D3895" t="s">
        <v>12160</v>
      </c>
      <c r="E3895" t="s">
        <v>1545</v>
      </c>
      <c r="F3895" t="s">
        <v>24</v>
      </c>
      <c r="G3895" t="s">
        <v>12</v>
      </c>
      <c r="H3895">
        <f>40094*(1.01^10)</f>
        <v>44288.719496236845</v>
      </c>
      <c r="I3895">
        <f>228809*(1.01^10)</f>
        <v>252747.48389321234</v>
      </c>
      <c r="J3895" t="s">
        <v>12161</v>
      </c>
      <c r="K3895">
        <f t="shared" si="60"/>
        <v>470.81561869241443</v>
      </c>
    </row>
    <row r="3896" spans="1:11" x14ac:dyDescent="0.2">
      <c r="A3896" t="s">
        <v>726</v>
      </c>
      <c r="B3896" t="s">
        <v>1666</v>
      </c>
      <c r="C3896" t="s">
        <v>12162</v>
      </c>
      <c r="D3896" t="s">
        <v>678</v>
      </c>
      <c r="E3896" t="s">
        <v>1140</v>
      </c>
      <c r="F3896" t="s">
        <v>998</v>
      </c>
      <c r="G3896" t="s">
        <v>12</v>
      </c>
      <c r="H3896">
        <f>68953*(1.01^10)</f>
        <v>76167.009413478794</v>
      </c>
      <c r="I3896">
        <f>388477*(1.01^10)</f>
        <v>429120.28941336856</v>
      </c>
      <c r="J3896" t="s">
        <v>12163</v>
      </c>
      <c r="K3896">
        <f t="shared" si="60"/>
        <v>273.92440085476068</v>
      </c>
    </row>
    <row r="3897" spans="1:11" x14ac:dyDescent="0.2">
      <c r="A3897" t="s">
        <v>726</v>
      </c>
      <c r="B3897" t="s">
        <v>695</v>
      </c>
      <c r="C3897" t="s">
        <v>12164</v>
      </c>
      <c r="D3897" t="s">
        <v>12165</v>
      </c>
      <c r="E3897" t="s">
        <v>789</v>
      </c>
      <c r="F3897" t="s">
        <v>24</v>
      </c>
      <c r="G3897" t="s">
        <v>24</v>
      </c>
      <c r="H3897">
        <f>20808*(1.01^10)</f>
        <v>22984.977185556349</v>
      </c>
      <c r="I3897">
        <f>99794*(1.01^10)</f>
        <v>110234.66038328577</v>
      </c>
      <c r="J3897" t="s">
        <v>12166</v>
      </c>
      <c r="K3897">
        <f t="shared" si="60"/>
        <v>200.03410888015489</v>
      </c>
    </row>
    <row r="3898" spans="1:11" x14ac:dyDescent="0.2">
      <c r="A3898" t="s">
        <v>726</v>
      </c>
      <c r="B3898" t="s">
        <v>695</v>
      </c>
      <c r="C3898" t="s">
        <v>12167</v>
      </c>
      <c r="D3898" t="s">
        <v>12168</v>
      </c>
      <c r="E3898" t="s">
        <v>1027</v>
      </c>
      <c r="F3898" t="s">
        <v>24</v>
      </c>
      <c r="G3898" t="s">
        <v>12</v>
      </c>
      <c r="H3898">
        <f>26789*(1.01^10)</f>
        <v>29591.722117640766</v>
      </c>
      <c r="I3898">
        <f>140521*(1.01^10)</f>
        <v>155222.6056849079</v>
      </c>
      <c r="J3898" t="s">
        <v>12169</v>
      </c>
      <c r="K3898">
        <f t="shared" si="60"/>
        <v>194.02971176340171</v>
      </c>
    </row>
    <row r="3899" spans="1:11" x14ac:dyDescent="0.2">
      <c r="A3899" t="s">
        <v>726</v>
      </c>
      <c r="B3899" t="s">
        <v>695</v>
      </c>
      <c r="C3899" t="s">
        <v>12170</v>
      </c>
      <c r="D3899" t="s">
        <v>12171</v>
      </c>
      <c r="E3899" t="s">
        <v>23</v>
      </c>
      <c r="F3899" t="s">
        <v>24</v>
      </c>
      <c r="G3899" t="s">
        <v>17</v>
      </c>
      <c r="H3899">
        <f>25930*(1.01^10)</f>
        <v>28642.851711912539</v>
      </c>
      <c r="I3899">
        <f>132914*(1.01^10)</f>
        <v>146819.74517690486</v>
      </c>
      <c r="J3899" t="s">
        <v>12172</v>
      </c>
      <c r="K3899">
        <f t="shared" si="60"/>
        <v>226.67773537093635</v>
      </c>
    </row>
    <row r="3900" spans="1:11" x14ac:dyDescent="0.2">
      <c r="A3900" t="s">
        <v>726</v>
      </c>
      <c r="B3900" t="s">
        <v>695</v>
      </c>
      <c r="C3900" t="s">
        <v>12173</v>
      </c>
      <c r="D3900" t="s">
        <v>12174</v>
      </c>
      <c r="E3900" t="s">
        <v>72</v>
      </c>
      <c r="F3900" t="s">
        <v>24</v>
      </c>
      <c r="G3900" t="s">
        <v>12</v>
      </c>
      <c r="H3900">
        <f>12358*(1.01^10)</f>
        <v>13650.920225831669</v>
      </c>
      <c r="I3900">
        <f>60423*(1.01^10)</f>
        <v>66744.582683721223</v>
      </c>
      <c r="J3900" t="s">
        <v>12175</v>
      </c>
      <c r="K3900">
        <f t="shared" si="60"/>
        <v>172.94941548388826</v>
      </c>
    </row>
    <row r="3901" spans="1:11" x14ac:dyDescent="0.2">
      <c r="A3901" t="s">
        <v>726</v>
      </c>
      <c r="B3901" t="s">
        <v>695</v>
      </c>
      <c r="C3901" t="s">
        <v>12176</v>
      </c>
      <c r="D3901" t="s">
        <v>12177</v>
      </c>
      <c r="E3901" t="s">
        <v>1362</v>
      </c>
      <c r="F3901" t="s">
        <v>24</v>
      </c>
      <c r="G3901" t="s">
        <v>12</v>
      </c>
      <c r="H3901">
        <f>48334*(1.01^10)</f>
        <v>53390.80580962517</v>
      </c>
      <c r="I3901">
        <f>241279*(1.01^10)</f>
        <v>266522.12179709005</v>
      </c>
      <c r="J3901" t="s">
        <v>12178</v>
      </c>
      <c r="K3901">
        <f t="shared" si="60"/>
        <v>319.87438536193662</v>
      </c>
    </row>
    <row r="3902" spans="1:11" x14ac:dyDescent="0.2">
      <c r="A3902" t="s">
        <v>726</v>
      </c>
      <c r="B3902" t="s">
        <v>695</v>
      </c>
      <c r="C3902" t="s">
        <v>12179</v>
      </c>
      <c r="D3902" t="s">
        <v>12180</v>
      </c>
      <c r="E3902" t="s">
        <v>374</v>
      </c>
      <c r="F3902" t="s">
        <v>24</v>
      </c>
      <c r="G3902" t="s">
        <v>12</v>
      </c>
      <c r="H3902">
        <f>16741*(1.01^10)</f>
        <v>18492.479001508978</v>
      </c>
      <c r="I3902">
        <f>83054*(1.01^10)</f>
        <v>91743.286003902205</v>
      </c>
      <c r="J3902" t="s">
        <v>12181</v>
      </c>
      <c r="K3902">
        <f t="shared" si="60"/>
        <v>264.82238679846171</v>
      </c>
    </row>
    <row r="3903" spans="1:11" x14ac:dyDescent="0.2">
      <c r="A3903" t="s">
        <v>726</v>
      </c>
      <c r="B3903" t="s">
        <v>695</v>
      </c>
      <c r="C3903" t="s">
        <v>12182</v>
      </c>
      <c r="D3903" t="s">
        <v>1454</v>
      </c>
      <c r="E3903" t="s">
        <v>1589</v>
      </c>
      <c r="F3903" t="s">
        <v>17</v>
      </c>
      <c r="G3903" t="s">
        <v>12</v>
      </c>
      <c r="H3903">
        <f>28646*(1.01^10)</f>
        <v>31643.005404529373</v>
      </c>
      <c r="I3903">
        <f>139807*(1.01^10)</f>
        <v>154433.9054873643</v>
      </c>
      <c r="J3903" t="s">
        <v>12183</v>
      </c>
      <c r="K3903">
        <f t="shared" si="60"/>
        <v>147.1111949309072</v>
      </c>
    </row>
    <row r="3904" spans="1:11" x14ac:dyDescent="0.2">
      <c r="A3904" t="s">
        <v>726</v>
      </c>
      <c r="B3904" t="s">
        <v>695</v>
      </c>
      <c r="C3904" t="s">
        <v>12184</v>
      </c>
      <c r="D3904" t="s">
        <v>12185</v>
      </c>
      <c r="E3904" t="s">
        <v>410</v>
      </c>
      <c r="F3904" t="s">
        <v>24</v>
      </c>
      <c r="G3904" t="s">
        <v>12</v>
      </c>
      <c r="H3904">
        <f>47092*(1.01^10)</f>
        <v>52018.865129864455</v>
      </c>
      <c r="I3904">
        <f>239272*(1.01^10)</f>
        <v>264305.14519138978</v>
      </c>
      <c r="J3904" t="s">
        <v>12186</v>
      </c>
      <c r="K3904">
        <f t="shared" si="60"/>
        <v>225.96847583113077</v>
      </c>
    </row>
    <row r="3905" spans="1:11" x14ac:dyDescent="0.2">
      <c r="A3905" t="s">
        <v>726</v>
      </c>
      <c r="B3905" t="s">
        <v>695</v>
      </c>
      <c r="C3905" t="s">
        <v>12187</v>
      </c>
      <c r="D3905" t="s">
        <v>12188</v>
      </c>
      <c r="E3905" t="s">
        <v>164</v>
      </c>
      <c r="F3905" t="s">
        <v>24</v>
      </c>
      <c r="G3905" t="s">
        <v>24</v>
      </c>
      <c r="H3905">
        <f>17476*(1.01^10)</f>
        <v>19304.376263686216</v>
      </c>
      <c r="I3905">
        <f>93431*(1.01^10)</f>
        <v>103205.94979929428</v>
      </c>
      <c r="J3905" t="s">
        <v>12189</v>
      </c>
      <c r="K3905">
        <f t="shared" si="60"/>
        <v>170.81537796093292</v>
      </c>
    </row>
    <row r="3906" spans="1:11" x14ac:dyDescent="0.2">
      <c r="A3906" t="s">
        <v>726</v>
      </c>
      <c r="B3906" t="s">
        <v>695</v>
      </c>
      <c r="C3906" t="s">
        <v>12190</v>
      </c>
      <c r="D3906" t="s">
        <v>12191</v>
      </c>
      <c r="E3906" t="s">
        <v>176</v>
      </c>
      <c r="F3906" t="s">
        <v>24</v>
      </c>
      <c r="G3906" t="s">
        <v>12</v>
      </c>
      <c r="H3906">
        <f>19475*(1.01^10)</f>
        <v>21512.515892383213</v>
      </c>
      <c r="I3906">
        <f>108002*(1.01^10)</f>
        <v>119301.39878866094</v>
      </c>
      <c r="J3906" t="s">
        <v>12192</v>
      </c>
      <c r="K3906">
        <f t="shared" si="60"/>
        <v>339.3326336148487</v>
      </c>
    </row>
    <row r="3907" spans="1:11" x14ac:dyDescent="0.2">
      <c r="A3907" t="s">
        <v>726</v>
      </c>
      <c r="B3907" t="s">
        <v>695</v>
      </c>
      <c r="C3907" t="s">
        <v>12193</v>
      </c>
      <c r="D3907" t="s">
        <v>12194</v>
      </c>
      <c r="E3907" t="s">
        <v>777</v>
      </c>
      <c r="F3907" t="s">
        <v>24</v>
      </c>
      <c r="G3907" t="s">
        <v>12</v>
      </c>
      <c r="H3907">
        <f>31188*(1.01^10)</f>
        <v>34450.954847324654</v>
      </c>
      <c r="I3907">
        <f>175693*(1.01^10)</f>
        <v>194074.37507987081</v>
      </c>
      <c r="J3907" t="s">
        <v>12195</v>
      </c>
      <c r="K3907">
        <f t="shared" ref="K3907:K3970" si="61">I3907/J3907</f>
        <v>295.18883511867131</v>
      </c>
    </row>
    <row r="3908" spans="1:11" x14ac:dyDescent="0.2">
      <c r="A3908" t="s">
        <v>726</v>
      </c>
      <c r="B3908" t="s">
        <v>1709</v>
      </c>
      <c r="C3908" t="s">
        <v>12196</v>
      </c>
      <c r="D3908" t="s">
        <v>12197</v>
      </c>
      <c r="E3908" t="s">
        <v>126</v>
      </c>
      <c r="F3908" t="s">
        <v>24</v>
      </c>
      <c r="G3908" t="s">
        <v>12</v>
      </c>
      <c r="H3908">
        <f>53495*(1.01^10)</f>
        <v>59091.760598872395</v>
      </c>
      <c r="I3908">
        <f>286618*(1.01^10)</f>
        <v>316604.58434110868</v>
      </c>
      <c r="J3908" t="s">
        <v>12198</v>
      </c>
      <c r="K3908">
        <f t="shared" si="61"/>
        <v>398.71106928725698</v>
      </c>
    </row>
    <row r="3909" spans="1:11" x14ac:dyDescent="0.2">
      <c r="A3909" t="s">
        <v>726</v>
      </c>
      <c r="B3909" t="s">
        <v>1709</v>
      </c>
      <c r="C3909" t="s">
        <v>12199</v>
      </c>
      <c r="D3909" t="s">
        <v>12200</v>
      </c>
      <c r="E3909" t="s">
        <v>3122</v>
      </c>
      <c r="F3909" t="s">
        <v>17</v>
      </c>
      <c r="G3909" t="s">
        <v>12</v>
      </c>
      <c r="H3909">
        <f>15459*(1.01^10)</f>
        <v>17076.353436731813</v>
      </c>
      <c r="I3909">
        <f>80192*(1.01^10)</f>
        <v>88581.857480975334</v>
      </c>
      <c r="J3909" t="s">
        <v>12201</v>
      </c>
      <c r="K3909">
        <f t="shared" si="61"/>
        <v>140.74487213863901</v>
      </c>
    </row>
    <row r="3910" spans="1:11" x14ac:dyDescent="0.2">
      <c r="A3910" t="s">
        <v>726</v>
      </c>
      <c r="B3910" t="s">
        <v>1709</v>
      </c>
      <c r="C3910" t="s">
        <v>12202</v>
      </c>
      <c r="D3910" t="s">
        <v>12203</v>
      </c>
      <c r="E3910" t="s">
        <v>1106</v>
      </c>
      <c r="F3910" t="s">
        <v>24</v>
      </c>
      <c r="G3910" t="s">
        <v>17</v>
      </c>
      <c r="H3910">
        <f>36992*(1.01^10)</f>
        <v>40862.18166321129</v>
      </c>
      <c r="I3910">
        <f>200475*(1.01^10)</f>
        <v>221449.12059181128</v>
      </c>
      <c r="J3910" t="s">
        <v>12204</v>
      </c>
      <c r="K3910">
        <f t="shared" si="61"/>
        <v>245.97023006816397</v>
      </c>
    </row>
    <row r="3911" spans="1:11" x14ac:dyDescent="0.2">
      <c r="A3911" t="s">
        <v>726</v>
      </c>
      <c r="B3911" t="s">
        <v>1709</v>
      </c>
      <c r="C3911" t="s">
        <v>12205</v>
      </c>
      <c r="D3911" t="s">
        <v>12206</v>
      </c>
      <c r="E3911" t="s">
        <v>829</v>
      </c>
      <c r="F3911" t="s">
        <v>12</v>
      </c>
      <c r="G3911" t="s">
        <v>17</v>
      </c>
      <c r="H3911">
        <f>16842*(1.01^10)</f>
        <v>18604.045836175512</v>
      </c>
      <c r="I3911">
        <f>86323*(1.01^10)</f>
        <v>95354.295731871433</v>
      </c>
      <c r="J3911" t="s">
        <v>12207</v>
      </c>
      <c r="K3911">
        <f t="shared" si="61"/>
        <v>222.51370339608351</v>
      </c>
    </row>
    <row r="3912" spans="1:11" x14ac:dyDescent="0.2">
      <c r="A3912" t="s">
        <v>726</v>
      </c>
      <c r="B3912" t="s">
        <v>1709</v>
      </c>
      <c r="C3912" t="s">
        <v>12208</v>
      </c>
      <c r="D3912" t="s">
        <v>12209</v>
      </c>
      <c r="E3912" t="s">
        <v>1580</v>
      </c>
      <c r="F3912" t="s">
        <v>17</v>
      </c>
      <c r="G3912" t="s">
        <v>92</v>
      </c>
      <c r="H3912">
        <f>158301*(1.01^10)</f>
        <v>174862.78707471912</v>
      </c>
      <c r="I3912">
        <f>787319*(1.01^10)</f>
        <v>869689.98715662432</v>
      </c>
      <c r="J3912" t="s">
        <v>12210</v>
      </c>
      <c r="K3912">
        <f t="shared" si="61"/>
        <v>379.24424606242496</v>
      </c>
    </row>
    <row r="3913" spans="1:11" x14ac:dyDescent="0.2">
      <c r="A3913" t="s">
        <v>726</v>
      </c>
      <c r="B3913" t="s">
        <v>1709</v>
      </c>
      <c r="C3913" t="s">
        <v>12211</v>
      </c>
      <c r="D3913" t="s">
        <v>12212</v>
      </c>
      <c r="E3913" t="s">
        <v>333</v>
      </c>
      <c r="F3913" t="s">
        <v>12</v>
      </c>
      <c r="G3913" t="s">
        <v>12</v>
      </c>
      <c r="H3913">
        <f>17985*(1.01^10)</f>
        <v>19866.628925520516</v>
      </c>
      <c r="I3913">
        <f>100977*(1.01^10)</f>
        <v>111541.42835764722</v>
      </c>
      <c r="J3913" t="s">
        <v>12213</v>
      </c>
      <c r="K3913">
        <f t="shared" si="61"/>
        <v>159.47252765834767</v>
      </c>
    </row>
    <row r="3914" spans="1:11" x14ac:dyDescent="0.2">
      <c r="A3914" t="s">
        <v>726</v>
      </c>
      <c r="B3914" t="s">
        <v>1709</v>
      </c>
      <c r="C3914" t="s">
        <v>12214</v>
      </c>
      <c r="D3914" t="s">
        <v>12215</v>
      </c>
      <c r="E3914" t="s">
        <v>394</v>
      </c>
      <c r="F3914" t="s">
        <v>12</v>
      </c>
      <c r="G3914" t="s">
        <v>17</v>
      </c>
      <c r="H3914">
        <f>39348*(1.01^10)</f>
        <v>43464.671390680087</v>
      </c>
      <c r="I3914">
        <f>212236*(1.01^10)</f>
        <v>234440.58140877244</v>
      </c>
      <c r="J3914" t="s">
        <v>12216</v>
      </c>
      <c r="K3914">
        <f t="shared" si="61"/>
        <v>316.7067443460528</v>
      </c>
    </row>
    <row r="3915" spans="1:11" x14ac:dyDescent="0.2">
      <c r="A3915" t="s">
        <v>726</v>
      </c>
      <c r="B3915" t="s">
        <v>1709</v>
      </c>
      <c r="C3915" t="s">
        <v>12217</v>
      </c>
      <c r="D3915" t="s">
        <v>12218</v>
      </c>
      <c r="E3915" t="s">
        <v>180</v>
      </c>
      <c r="F3915" t="s">
        <v>12</v>
      </c>
      <c r="G3915" t="s">
        <v>12</v>
      </c>
      <c r="H3915">
        <f>23136*(1.01^10)</f>
        <v>25556.537493513631</v>
      </c>
      <c r="I3915">
        <f>118276*(1.01^10)</f>
        <v>130650.28650513565</v>
      </c>
      <c r="J3915" t="s">
        <v>12219</v>
      </c>
      <c r="K3915">
        <f t="shared" si="61"/>
        <v>262.19277120478989</v>
      </c>
    </row>
    <row r="3916" spans="1:11" x14ac:dyDescent="0.2">
      <c r="A3916" t="s">
        <v>726</v>
      </c>
      <c r="B3916" t="s">
        <v>1709</v>
      </c>
      <c r="C3916" t="s">
        <v>12220</v>
      </c>
      <c r="D3916" t="s">
        <v>12221</v>
      </c>
      <c r="E3916" t="s">
        <v>589</v>
      </c>
      <c r="F3916" t="s">
        <v>24</v>
      </c>
      <c r="G3916" t="s">
        <v>12</v>
      </c>
      <c r="H3916">
        <f>41260*(1.01^10)</f>
        <v>45576.708894466305</v>
      </c>
      <c r="I3916">
        <f>230271*(1.01^10)</f>
        <v>254362.44144056353</v>
      </c>
      <c r="J3916" t="s">
        <v>12222</v>
      </c>
      <c r="K3916">
        <f t="shared" si="61"/>
        <v>336.76186656700338</v>
      </c>
    </row>
    <row r="3917" spans="1:11" x14ac:dyDescent="0.2">
      <c r="A3917" t="s">
        <v>726</v>
      </c>
      <c r="B3917" t="s">
        <v>1709</v>
      </c>
      <c r="C3917" t="s">
        <v>12223</v>
      </c>
      <c r="D3917" t="s">
        <v>12224</v>
      </c>
      <c r="E3917" t="s">
        <v>1328</v>
      </c>
      <c r="F3917" t="s">
        <v>17</v>
      </c>
      <c r="G3917" t="s">
        <v>11</v>
      </c>
      <c r="H3917">
        <f>58712*(1.01^10)</f>
        <v>64854.57422714265</v>
      </c>
      <c r="I3917">
        <f>325667*(1.01^10)</f>
        <v>359738.97371629084</v>
      </c>
      <c r="J3917" t="s">
        <v>12225</v>
      </c>
      <c r="K3917">
        <f t="shared" si="61"/>
        <v>369.37160626985775</v>
      </c>
    </row>
    <row r="3918" spans="1:11" x14ac:dyDescent="0.2">
      <c r="A3918" t="s">
        <v>726</v>
      </c>
      <c r="B3918" t="s">
        <v>1709</v>
      </c>
      <c r="C3918" t="s">
        <v>12226</v>
      </c>
      <c r="D3918" t="s">
        <v>12227</v>
      </c>
      <c r="E3918" t="s">
        <v>386</v>
      </c>
      <c r="F3918" t="s">
        <v>24</v>
      </c>
      <c r="G3918" t="s">
        <v>17</v>
      </c>
      <c r="H3918">
        <f>77075*(1.01^10)</f>
        <v>85138.750316068603</v>
      </c>
      <c r="I3918">
        <f>452011*(1.01^10)</f>
        <v>499301.35152924404</v>
      </c>
      <c r="J3918" t="s">
        <v>12228</v>
      </c>
      <c r="K3918">
        <f t="shared" si="61"/>
        <v>377.89559853862988</v>
      </c>
    </row>
    <row r="3919" spans="1:11" x14ac:dyDescent="0.2">
      <c r="A3919" t="s">
        <v>726</v>
      </c>
      <c r="B3919" t="s">
        <v>2049</v>
      </c>
      <c r="C3919" t="s">
        <v>12229</v>
      </c>
      <c r="D3919" t="s">
        <v>4760</v>
      </c>
      <c r="E3919" t="s">
        <v>176</v>
      </c>
      <c r="F3919" t="s">
        <v>24</v>
      </c>
      <c r="G3919" t="s">
        <v>24</v>
      </c>
      <c r="H3919">
        <f>16768*(1.01^10)</f>
        <v>18522.303798895082</v>
      </c>
      <c r="I3919">
        <f>88522*(1.01^10)</f>
        <v>97783.359785650668</v>
      </c>
      <c r="J3919" t="s">
        <v>12230</v>
      </c>
      <c r="K3919">
        <f t="shared" si="61"/>
        <v>291.60948713302309</v>
      </c>
    </row>
    <row r="3920" spans="1:11" x14ac:dyDescent="0.2">
      <c r="A3920" t="s">
        <v>726</v>
      </c>
      <c r="B3920" t="s">
        <v>2049</v>
      </c>
      <c r="C3920" t="s">
        <v>12231</v>
      </c>
      <c r="D3920" t="s">
        <v>12232</v>
      </c>
      <c r="E3920" t="s">
        <v>726</v>
      </c>
      <c r="F3920" t="s">
        <v>24</v>
      </c>
      <c r="G3920" t="s">
        <v>12</v>
      </c>
      <c r="H3920">
        <f>22021*(1.01^10)</f>
        <v>24324.883823680138</v>
      </c>
      <c r="I3920">
        <f>106526*(1.01^10)</f>
        <v>117670.976531554</v>
      </c>
      <c r="J3920" t="s">
        <v>12233</v>
      </c>
      <c r="K3920">
        <f t="shared" si="61"/>
        <v>696.95235936981817</v>
      </c>
    </row>
    <row r="3921" spans="1:11" x14ac:dyDescent="0.2">
      <c r="A3921" t="s">
        <v>726</v>
      </c>
      <c r="B3921" t="s">
        <v>2049</v>
      </c>
      <c r="C3921" t="s">
        <v>12234</v>
      </c>
      <c r="D3921" t="s">
        <v>11612</v>
      </c>
      <c r="E3921" t="s">
        <v>72</v>
      </c>
      <c r="F3921" t="s">
        <v>24</v>
      </c>
      <c r="G3921" t="s">
        <v>12</v>
      </c>
      <c r="H3921">
        <f>37295*(1.01^10)</f>
        <v>41196.882167210882</v>
      </c>
      <c r="I3921">
        <f>188029*(1.01^10)</f>
        <v>207700.99361894341</v>
      </c>
      <c r="J3921" t="s">
        <v>12235</v>
      </c>
      <c r="K3921">
        <f t="shared" si="61"/>
        <v>888.33368499514927</v>
      </c>
    </row>
    <row r="3922" spans="1:11" x14ac:dyDescent="0.2">
      <c r="A3922" t="s">
        <v>726</v>
      </c>
      <c r="B3922" t="s">
        <v>2049</v>
      </c>
      <c r="C3922" t="s">
        <v>12236</v>
      </c>
      <c r="D3922" t="s">
        <v>12237</v>
      </c>
      <c r="E3922" t="s">
        <v>47</v>
      </c>
      <c r="F3922" t="s">
        <v>24</v>
      </c>
      <c r="G3922" t="s">
        <v>152</v>
      </c>
      <c r="H3922">
        <f>126832*(1.01^10)</f>
        <v>140101.43341015393</v>
      </c>
      <c r="I3922">
        <f>609307*(1.01^10)</f>
        <v>673053.99336792494</v>
      </c>
      <c r="J3922" t="s">
        <v>12238</v>
      </c>
      <c r="K3922">
        <f t="shared" si="61"/>
        <v>1509.5029178475186</v>
      </c>
    </row>
    <row r="3923" spans="1:11" x14ac:dyDescent="0.2">
      <c r="A3923" t="s">
        <v>726</v>
      </c>
      <c r="B3923" t="s">
        <v>2049</v>
      </c>
      <c r="C3923" t="s">
        <v>12239</v>
      </c>
      <c r="D3923" t="s">
        <v>12240</v>
      </c>
      <c r="E3923" t="s">
        <v>1027</v>
      </c>
      <c r="F3923" t="s">
        <v>24</v>
      </c>
      <c r="G3923" t="s">
        <v>12</v>
      </c>
      <c r="H3923">
        <f>60078*(1.01^10)</f>
        <v>66363.488050454354</v>
      </c>
      <c r="I3923">
        <f>287924*(1.01^10)</f>
        <v>318047.22083689569</v>
      </c>
      <c r="J3923" t="s">
        <v>12241</v>
      </c>
      <c r="K3923">
        <f t="shared" si="61"/>
        <v>1042.5297654969895</v>
      </c>
    </row>
    <row r="3924" spans="1:11" x14ac:dyDescent="0.2">
      <c r="A3924" t="s">
        <v>726</v>
      </c>
      <c r="B3924" t="s">
        <v>2049</v>
      </c>
      <c r="C3924" t="s">
        <v>12242</v>
      </c>
      <c r="D3924" t="s">
        <v>12243</v>
      </c>
      <c r="E3924" t="s">
        <v>164</v>
      </c>
      <c r="F3924" t="s">
        <v>24</v>
      </c>
      <c r="G3924" t="s">
        <v>12</v>
      </c>
      <c r="H3924">
        <f>56867*(1.01^10)</f>
        <v>62816.546405758978</v>
      </c>
      <c r="I3924">
        <f>285679*(1.01^10)</f>
        <v>315567.34416534757</v>
      </c>
      <c r="J3924" t="s">
        <v>12244</v>
      </c>
      <c r="K3924">
        <f t="shared" si="61"/>
        <v>283.96445420096472</v>
      </c>
    </row>
    <row r="3925" spans="1:11" x14ac:dyDescent="0.2">
      <c r="A3925" t="s">
        <v>726</v>
      </c>
      <c r="B3925" t="s">
        <v>2049</v>
      </c>
      <c r="C3925" t="s">
        <v>12245</v>
      </c>
      <c r="D3925" t="s">
        <v>12246</v>
      </c>
      <c r="E3925" t="s">
        <v>67</v>
      </c>
      <c r="F3925" t="s">
        <v>24</v>
      </c>
      <c r="G3925" t="s">
        <v>17</v>
      </c>
      <c r="H3925">
        <f>77616*(1.01^10)</f>
        <v>85736.350885916065</v>
      </c>
      <c r="I3925">
        <f>379650*(1.01^10)</f>
        <v>419369.78991236386</v>
      </c>
      <c r="J3925" t="s">
        <v>12247</v>
      </c>
      <c r="K3925">
        <f t="shared" si="61"/>
        <v>997.09511452867139</v>
      </c>
    </row>
    <row r="3926" spans="1:11" x14ac:dyDescent="0.2">
      <c r="A3926" t="s">
        <v>726</v>
      </c>
      <c r="B3926" t="s">
        <v>2049</v>
      </c>
      <c r="C3926" t="s">
        <v>12248</v>
      </c>
      <c r="D3926" t="s">
        <v>12249</v>
      </c>
      <c r="E3926" t="s">
        <v>374</v>
      </c>
      <c r="F3926" t="s">
        <v>24</v>
      </c>
      <c r="G3926" t="s">
        <v>12</v>
      </c>
      <c r="H3926">
        <f>30128*(1.01^10)</f>
        <v>33280.055394388779</v>
      </c>
      <c r="I3926">
        <f>147108*(1.01^10)</f>
        <v>162498.75162499151</v>
      </c>
      <c r="J3926" t="s">
        <v>12250</v>
      </c>
      <c r="K3926">
        <f t="shared" si="61"/>
        <v>887.0156113626972</v>
      </c>
    </row>
    <row r="3927" spans="1:11" x14ac:dyDescent="0.2">
      <c r="A3927" t="s">
        <v>726</v>
      </c>
      <c r="B3927" t="s">
        <v>1339</v>
      </c>
      <c r="C3927" t="s">
        <v>12251</v>
      </c>
      <c r="D3927" t="s">
        <v>12252</v>
      </c>
      <c r="E3927" t="s">
        <v>1549</v>
      </c>
      <c r="F3927" t="s">
        <v>24</v>
      </c>
      <c r="G3927" t="s">
        <v>12</v>
      </c>
      <c r="H3927">
        <f>55002*(1.01^10)</f>
        <v>60756.426141867087</v>
      </c>
      <c r="I3927">
        <f>273168*(1.01^10)</f>
        <v>301747.41675432801</v>
      </c>
      <c r="J3927" t="s">
        <v>12253</v>
      </c>
      <c r="K3927">
        <f t="shared" si="61"/>
        <v>475.580908636716</v>
      </c>
    </row>
    <row r="3928" spans="1:11" x14ac:dyDescent="0.2">
      <c r="A3928" t="s">
        <v>726</v>
      </c>
      <c r="B3928" t="s">
        <v>1339</v>
      </c>
      <c r="C3928" t="s">
        <v>12254</v>
      </c>
      <c r="D3928" t="s">
        <v>12255</v>
      </c>
      <c r="E3928" t="s">
        <v>126</v>
      </c>
      <c r="F3928" t="s">
        <v>12</v>
      </c>
      <c r="G3928" t="s">
        <v>12</v>
      </c>
      <c r="H3928">
        <f>20097*(1.01^10)</f>
        <v>22199.590854388982</v>
      </c>
      <c r="I3928">
        <f>100293*(1.01^10)</f>
        <v>110785.86682386596</v>
      </c>
      <c r="J3928" t="s">
        <v>12256</v>
      </c>
      <c r="K3928">
        <f t="shared" si="61"/>
        <v>432.18737982741823</v>
      </c>
    </row>
    <row r="3929" spans="1:11" x14ac:dyDescent="0.2">
      <c r="A3929" t="s">
        <v>726</v>
      </c>
      <c r="B3929" t="s">
        <v>1339</v>
      </c>
      <c r="C3929" t="s">
        <v>12257</v>
      </c>
      <c r="D3929" t="s">
        <v>12258</v>
      </c>
      <c r="E3929" t="s">
        <v>333</v>
      </c>
      <c r="F3929" t="s">
        <v>24</v>
      </c>
      <c r="G3929" t="s">
        <v>12</v>
      </c>
      <c r="H3929">
        <f>28821*(1.01^10)</f>
        <v>31836.314276476332</v>
      </c>
      <c r="I3929">
        <f>145823*(1.01^10)</f>
        <v>161079.31219383812</v>
      </c>
      <c r="J3929" t="s">
        <v>12259</v>
      </c>
      <c r="K3929">
        <f t="shared" si="61"/>
        <v>528.20102924089474</v>
      </c>
    </row>
    <row r="3930" spans="1:11" x14ac:dyDescent="0.2">
      <c r="A3930" t="s">
        <v>726</v>
      </c>
      <c r="B3930" t="s">
        <v>1339</v>
      </c>
      <c r="C3930" t="s">
        <v>12260</v>
      </c>
      <c r="D3930" t="s">
        <v>12261</v>
      </c>
      <c r="E3930" t="s">
        <v>837</v>
      </c>
      <c r="F3930" t="s">
        <v>24</v>
      </c>
      <c r="G3930" t="s">
        <v>12</v>
      </c>
      <c r="H3930">
        <f>42337*(1.01^10)</f>
        <v>46766.386923534177</v>
      </c>
      <c r="I3930">
        <f>208626*(1.01^10)</f>
        <v>230452.89553603801</v>
      </c>
      <c r="J3930" t="s">
        <v>12262</v>
      </c>
      <c r="K3930">
        <f t="shared" si="61"/>
        <v>650.75774429913304</v>
      </c>
    </row>
    <row r="3931" spans="1:11" x14ac:dyDescent="0.2">
      <c r="A3931" t="s">
        <v>726</v>
      </c>
      <c r="B3931" t="s">
        <v>1339</v>
      </c>
      <c r="C3931" t="s">
        <v>12263</v>
      </c>
      <c r="D3931" t="s">
        <v>12264</v>
      </c>
      <c r="E3931" t="s">
        <v>137</v>
      </c>
      <c r="F3931" t="s">
        <v>24</v>
      </c>
      <c r="G3931" t="s">
        <v>12</v>
      </c>
      <c r="H3931">
        <f>52160*(1.01^10)</f>
        <v>57617.090061448442</v>
      </c>
      <c r="I3931">
        <f>255978*(1.01^10)</f>
        <v>282758.96241850936</v>
      </c>
      <c r="J3931" t="s">
        <v>12265</v>
      </c>
      <c r="K3931">
        <f t="shared" si="61"/>
        <v>723.81617908699002</v>
      </c>
    </row>
    <row r="3932" spans="1:11" x14ac:dyDescent="0.2">
      <c r="A3932" t="s">
        <v>726</v>
      </c>
      <c r="B3932" t="s">
        <v>1339</v>
      </c>
      <c r="C3932" t="s">
        <v>12266</v>
      </c>
      <c r="D3932" t="s">
        <v>12267</v>
      </c>
      <c r="E3932" t="s">
        <v>16</v>
      </c>
      <c r="F3932" t="s">
        <v>24</v>
      </c>
      <c r="G3932" t="s">
        <v>12</v>
      </c>
      <c r="H3932">
        <f>26168*(1.01^10)</f>
        <v>28905.751777760404</v>
      </c>
      <c r="I3932">
        <f>128162*(1.01^10)</f>
        <v>141570.58083695083</v>
      </c>
      <c r="J3932" t="s">
        <v>12268</v>
      </c>
      <c r="K3932">
        <f t="shared" si="61"/>
        <v>466.21584129507806</v>
      </c>
    </row>
    <row r="3933" spans="1:11" x14ac:dyDescent="0.2">
      <c r="A3933" t="s">
        <v>726</v>
      </c>
      <c r="B3933" t="s">
        <v>1339</v>
      </c>
      <c r="C3933" t="s">
        <v>12269</v>
      </c>
      <c r="D3933" t="s">
        <v>12270</v>
      </c>
      <c r="E3933" t="s">
        <v>3122</v>
      </c>
      <c r="F3933" t="s">
        <v>24</v>
      </c>
      <c r="G3933" t="s">
        <v>24</v>
      </c>
      <c r="H3933">
        <f>32902*(1.01^10)</f>
        <v>36344.277170279456</v>
      </c>
      <c r="I3933">
        <f>162800*(1.01^10)</f>
        <v>179832.48201694412</v>
      </c>
      <c r="J3933" t="s">
        <v>12271</v>
      </c>
      <c r="K3933">
        <f t="shared" si="61"/>
        <v>465.65747609135371</v>
      </c>
    </row>
    <row r="3934" spans="1:11" x14ac:dyDescent="0.2">
      <c r="A3934" t="s">
        <v>726</v>
      </c>
      <c r="B3934" t="s">
        <v>1339</v>
      </c>
      <c r="C3934" t="s">
        <v>12272</v>
      </c>
      <c r="D3934" t="s">
        <v>12273</v>
      </c>
      <c r="E3934" t="s">
        <v>612</v>
      </c>
      <c r="F3934" t="s">
        <v>24</v>
      </c>
      <c r="G3934" t="s">
        <v>11</v>
      </c>
      <c r="H3934">
        <f>114929*(1.01^10)</f>
        <v>126953.11625138434</v>
      </c>
      <c r="I3934">
        <f>550330*(1.01^10)</f>
        <v>607906.69427754835</v>
      </c>
      <c r="J3934" t="s">
        <v>12274</v>
      </c>
      <c r="K3934">
        <f t="shared" si="61"/>
        <v>1504.493448813005</v>
      </c>
    </row>
    <row r="3935" spans="1:11" x14ac:dyDescent="0.2">
      <c r="A3935" t="s">
        <v>726</v>
      </c>
      <c r="B3935" t="s">
        <v>1339</v>
      </c>
      <c r="C3935" t="s">
        <v>12275</v>
      </c>
      <c r="D3935" t="s">
        <v>12276</v>
      </c>
      <c r="E3935" t="s">
        <v>185</v>
      </c>
      <c r="F3935" t="s">
        <v>24</v>
      </c>
      <c r="G3935" t="s">
        <v>12</v>
      </c>
      <c r="H3935">
        <f>26359*(1.01^10)</f>
        <v>29116.734603713947</v>
      </c>
      <c r="I3935">
        <f>132560*(1.01^10)</f>
        <v>146428.7089445093</v>
      </c>
      <c r="J3935" t="s">
        <v>12277</v>
      </c>
      <c r="K3935">
        <f t="shared" si="61"/>
        <v>591.05723220605262</v>
      </c>
    </row>
    <row r="3936" spans="1:11" x14ac:dyDescent="0.2">
      <c r="A3936" t="s">
        <v>726</v>
      </c>
      <c r="B3936" t="s">
        <v>1339</v>
      </c>
      <c r="C3936" t="s">
        <v>12278</v>
      </c>
      <c r="D3936" t="s">
        <v>12279</v>
      </c>
      <c r="E3936" t="s">
        <v>172</v>
      </c>
      <c r="F3936" t="s">
        <v>17</v>
      </c>
      <c r="G3936" t="s">
        <v>17</v>
      </c>
      <c r="H3936">
        <f>68081*(1.01^10)</f>
        <v>75203.778920120225</v>
      </c>
      <c r="I3936">
        <f>342145*(1.01^10)</f>
        <v>377940.93709881662</v>
      </c>
      <c r="J3936" t="s">
        <v>12280</v>
      </c>
      <c r="K3936">
        <f t="shared" si="61"/>
        <v>563.41451385430901</v>
      </c>
    </row>
    <row r="3937" spans="1:11" x14ac:dyDescent="0.2">
      <c r="A3937" t="s">
        <v>726</v>
      </c>
      <c r="B3937" t="s">
        <v>2014</v>
      </c>
      <c r="C3937" t="s">
        <v>12281</v>
      </c>
      <c r="D3937" t="s">
        <v>2609</v>
      </c>
      <c r="E3937" t="s">
        <v>484</v>
      </c>
      <c r="F3937" t="s">
        <v>24</v>
      </c>
      <c r="G3937" t="s">
        <v>24</v>
      </c>
      <c r="H3937">
        <f>19080*(1.01^10)</f>
        <v>21076.190152845786</v>
      </c>
      <c r="I3937">
        <f>96041*(1.01^10)</f>
        <v>106089.01354661751</v>
      </c>
      <c r="J3937" t="s">
        <v>12282</v>
      </c>
      <c r="K3937">
        <f t="shared" si="61"/>
        <v>318.85844540299581</v>
      </c>
    </row>
    <row r="3938" spans="1:11" x14ac:dyDescent="0.2">
      <c r="A3938" t="s">
        <v>726</v>
      </c>
      <c r="B3938" t="s">
        <v>2014</v>
      </c>
      <c r="C3938" t="s">
        <v>12283</v>
      </c>
      <c r="D3938" t="s">
        <v>12284</v>
      </c>
      <c r="E3938" t="s">
        <v>390</v>
      </c>
      <c r="F3938" t="s">
        <v>24</v>
      </c>
      <c r="G3938" t="s">
        <v>24</v>
      </c>
      <c r="H3938">
        <f>24972*(1.01^10)</f>
        <v>27584.623715768605</v>
      </c>
      <c r="I3938">
        <f>129545*(1.01^10)</f>
        <v>143098.27323639451</v>
      </c>
      <c r="J3938" t="s">
        <v>12285</v>
      </c>
      <c r="K3938">
        <f t="shared" si="61"/>
        <v>337.63948167605412</v>
      </c>
    </row>
    <row r="3939" spans="1:11" x14ac:dyDescent="0.2">
      <c r="A3939" t="s">
        <v>726</v>
      </c>
      <c r="B3939" t="s">
        <v>2014</v>
      </c>
      <c r="C3939" t="s">
        <v>12286</v>
      </c>
      <c r="D3939" t="s">
        <v>12287</v>
      </c>
      <c r="E3939" t="s">
        <v>453</v>
      </c>
      <c r="F3939" t="s">
        <v>24</v>
      </c>
      <c r="G3939" t="s">
        <v>12</v>
      </c>
      <c r="H3939">
        <f>47191*(1.01^10)</f>
        <v>52128.222720280166</v>
      </c>
      <c r="I3939">
        <f>265694*(1.01^10)</f>
        <v>293491.47098900465</v>
      </c>
      <c r="J3939" t="s">
        <v>12288</v>
      </c>
      <c r="K3939">
        <f t="shared" si="61"/>
        <v>515.97882709810165</v>
      </c>
    </row>
    <row r="3940" spans="1:11" x14ac:dyDescent="0.2">
      <c r="A3940" t="s">
        <v>726</v>
      </c>
      <c r="B3940" t="s">
        <v>2014</v>
      </c>
      <c r="C3940" t="s">
        <v>12289</v>
      </c>
      <c r="D3940" t="s">
        <v>12290</v>
      </c>
      <c r="E3940" t="s">
        <v>819</v>
      </c>
      <c r="F3940" t="s">
        <v>92</v>
      </c>
      <c r="G3940" t="s">
        <v>12</v>
      </c>
      <c r="H3940">
        <f>51552*(1.01^10)</f>
        <v>56945.479809198427</v>
      </c>
      <c r="I3940">
        <f>257228*(1.01^10)</f>
        <v>284139.74007527338</v>
      </c>
      <c r="J3940" t="s">
        <v>12291</v>
      </c>
      <c r="K3940">
        <f t="shared" si="61"/>
        <v>455.70027831898489</v>
      </c>
    </row>
    <row r="3941" spans="1:11" x14ac:dyDescent="0.2">
      <c r="A3941" t="s">
        <v>726</v>
      </c>
      <c r="B3941" t="s">
        <v>2014</v>
      </c>
      <c r="C3941" t="s">
        <v>12292</v>
      </c>
      <c r="D3941" t="s">
        <v>12293</v>
      </c>
      <c r="E3941" t="s">
        <v>2395</v>
      </c>
      <c r="F3941" t="s">
        <v>12</v>
      </c>
      <c r="G3941" t="s">
        <v>12</v>
      </c>
      <c r="H3941">
        <f>50976*(1.01^10)</f>
        <v>56309.21746496157</v>
      </c>
      <c r="I3941">
        <f>277559*(1.01^10)</f>
        <v>306597.81250700855</v>
      </c>
      <c r="J3941" t="s">
        <v>12294</v>
      </c>
      <c r="K3941">
        <f t="shared" si="61"/>
        <v>487.30176469155424</v>
      </c>
    </row>
    <row r="3942" spans="1:11" x14ac:dyDescent="0.2">
      <c r="A3942" t="s">
        <v>726</v>
      </c>
      <c r="B3942" t="s">
        <v>2014</v>
      </c>
      <c r="C3942" t="s">
        <v>12295</v>
      </c>
      <c r="D3942" t="s">
        <v>12296</v>
      </c>
      <c r="E3942" t="s">
        <v>91</v>
      </c>
      <c r="F3942" t="s">
        <v>12</v>
      </c>
      <c r="G3942" t="s">
        <v>24</v>
      </c>
      <c r="H3942">
        <f>31185*(1.01^10)</f>
        <v>34447.640980948418</v>
      </c>
      <c r="I3942">
        <f>186920*(1.01^10)</f>
        <v>206475.96768186238</v>
      </c>
      <c r="J3942" t="s">
        <v>12297</v>
      </c>
      <c r="K3942">
        <f t="shared" si="61"/>
        <v>637.1851970615586</v>
      </c>
    </row>
    <row r="3943" spans="1:11" x14ac:dyDescent="0.2">
      <c r="A3943" t="s">
        <v>726</v>
      </c>
      <c r="B3943" t="s">
        <v>2014</v>
      </c>
      <c r="C3943" t="s">
        <v>12298</v>
      </c>
      <c r="D3943" t="s">
        <v>12299</v>
      </c>
      <c r="E3943" t="s">
        <v>503</v>
      </c>
      <c r="F3943" t="s">
        <v>12</v>
      </c>
      <c r="G3943" t="s">
        <v>11</v>
      </c>
      <c r="H3943">
        <f>87300*(1.01^10)</f>
        <v>96433.511548398179</v>
      </c>
      <c r="I3943">
        <f>462516*(1.01^10)</f>
        <v>510905.40695668879</v>
      </c>
      <c r="J3943" t="s">
        <v>12300</v>
      </c>
      <c r="K3943">
        <f t="shared" si="61"/>
        <v>668.12071006219048</v>
      </c>
    </row>
    <row r="3944" spans="1:11" x14ac:dyDescent="0.2">
      <c r="A3944" t="s">
        <v>726</v>
      </c>
      <c r="B3944" t="s">
        <v>2014</v>
      </c>
      <c r="C3944" t="s">
        <v>12301</v>
      </c>
      <c r="D3944" t="s">
        <v>11970</v>
      </c>
      <c r="E3944" t="s">
        <v>998</v>
      </c>
      <c r="F3944" t="s">
        <v>24</v>
      </c>
      <c r="G3944" t="s">
        <v>17</v>
      </c>
      <c r="H3944">
        <f>43504*(1.01^10)</f>
        <v>48055.480943889052</v>
      </c>
      <c r="I3944">
        <f>216371*(1.01^10)</f>
        <v>239008.19389734778</v>
      </c>
      <c r="J3944" t="s">
        <v>12302</v>
      </c>
      <c r="K3944">
        <f t="shared" si="61"/>
        <v>597.83395513990718</v>
      </c>
    </row>
    <row r="3945" spans="1:11" x14ac:dyDescent="0.2">
      <c r="A3945" t="s">
        <v>726</v>
      </c>
      <c r="B3945" t="s">
        <v>2014</v>
      </c>
      <c r="C3945" t="s">
        <v>12303</v>
      </c>
      <c r="D3945" t="s">
        <v>12304</v>
      </c>
      <c r="E3945" t="s">
        <v>36</v>
      </c>
      <c r="F3945" t="s">
        <v>12</v>
      </c>
      <c r="G3945" t="s">
        <v>24</v>
      </c>
      <c r="H3945">
        <f>35555*(1.01^10)</f>
        <v>39274.839668995388</v>
      </c>
      <c r="I3945">
        <f>218467*(1.01^10)</f>
        <v>241323.48187220967</v>
      </c>
      <c r="J3945" t="s">
        <v>12305</v>
      </c>
      <c r="K3945">
        <f t="shared" si="61"/>
        <v>483.363383794703</v>
      </c>
    </row>
    <row r="3946" spans="1:11" x14ac:dyDescent="0.2">
      <c r="A3946" t="s">
        <v>726</v>
      </c>
      <c r="B3946" t="s">
        <v>2014</v>
      </c>
      <c r="C3946" t="s">
        <v>12306</v>
      </c>
      <c r="D3946" t="s">
        <v>12307</v>
      </c>
      <c r="E3946" t="s">
        <v>2283</v>
      </c>
      <c r="F3946" t="s">
        <v>11</v>
      </c>
      <c r="G3946" t="s">
        <v>12</v>
      </c>
      <c r="H3946">
        <f>47396*(1.01^10)</f>
        <v>52354.670255989462</v>
      </c>
      <c r="I3946">
        <f>237959*(1.01^10)</f>
        <v>262854.77634072484</v>
      </c>
      <c r="J3946" t="s">
        <v>12308</v>
      </c>
      <c r="K3946">
        <f t="shared" si="61"/>
        <v>507.02847775413153</v>
      </c>
    </row>
    <row r="3947" spans="1:11" x14ac:dyDescent="0.2">
      <c r="A3947" t="s">
        <v>726</v>
      </c>
      <c r="B3947" t="s">
        <v>2014</v>
      </c>
      <c r="C3947" t="s">
        <v>12309</v>
      </c>
      <c r="D3947" t="s">
        <v>12310</v>
      </c>
      <c r="E3947" t="s">
        <v>3122</v>
      </c>
      <c r="F3947" t="s">
        <v>24</v>
      </c>
      <c r="G3947" t="s">
        <v>24</v>
      </c>
      <c r="H3947">
        <f>7900*(1.01^10)</f>
        <v>8726.514790748517</v>
      </c>
      <c r="I3947">
        <f>42476*(1.01^10)</f>
        <v>46919.929398966335</v>
      </c>
      <c r="J3947" t="s">
        <v>12311</v>
      </c>
      <c r="K3947">
        <f t="shared" si="61"/>
        <v>319.71226190259307</v>
      </c>
    </row>
    <row r="3948" spans="1:11" x14ac:dyDescent="0.2">
      <c r="A3948" t="s">
        <v>726</v>
      </c>
      <c r="B3948" t="s">
        <v>289</v>
      </c>
      <c r="C3948" t="s">
        <v>12312</v>
      </c>
      <c r="D3948" t="s">
        <v>12313</v>
      </c>
      <c r="E3948" t="s">
        <v>32</v>
      </c>
      <c r="F3948" t="s">
        <v>24</v>
      </c>
      <c r="G3948" t="s">
        <v>24</v>
      </c>
      <c r="H3948">
        <f>39714*(1.01^10)</f>
        <v>43868.963088580582</v>
      </c>
      <c r="I3948">
        <f>238116*(1.01^10)</f>
        <v>263028.20201441442</v>
      </c>
      <c r="J3948" t="s">
        <v>12314</v>
      </c>
      <c r="K3948">
        <f t="shared" si="61"/>
        <v>807.84753001069669</v>
      </c>
    </row>
    <row r="3949" spans="1:11" x14ac:dyDescent="0.2">
      <c r="A3949" t="s">
        <v>726</v>
      </c>
      <c r="B3949" t="s">
        <v>289</v>
      </c>
      <c r="C3949" t="s">
        <v>12315</v>
      </c>
      <c r="D3949" t="s">
        <v>12316</v>
      </c>
      <c r="E3949" t="s">
        <v>328</v>
      </c>
      <c r="F3949" t="s">
        <v>24</v>
      </c>
      <c r="G3949" t="s">
        <v>17</v>
      </c>
      <c r="H3949">
        <f>76122*(1.01^10)</f>
        <v>84086.045430551734</v>
      </c>
      <c r="I3949">
        <f>473273*(1.01^10)</f>
        <v>522787.82715973712</v>
      </c>
      <c r="J3949" t="s">
        <v>12317</v>
      </c>
      <c r="K3949">
        <f t="shared" si="61"/>
        <v>649.96692435102489</v>
      </c>
    </row>
    <row r="3950" spans="1:11" x14ac:dyDescent="0.2">
      <c r="A3950" t="s">
        <v>726</v>
      </c>
      <c r="B3950" t="s">
        <v>289</v>
      </c>
      <c r="C3950" t="s">
        <v>12318</v>
      </c>
      <c r="D3950" t="s">
        <v>12319</v>
      </c>
      <c r="E3950" t="s">
        <v>413</v>
      </c>
      <c r="F3950" t="s">
        <v>24</v>
      </c>
      <c r="G3950" t="s">
        <v>12</v>
      </c>
      <c r="H3950">
        <f>48869*(1.01^10)</f>
        <v>53981.778646720166</v>
      </c>
      <c r="I3950">
        <f>306269*(1.01^10)</f>
        <v>338311.51372756425</v>
      </c>
      <c r="J3950" t="s">
        <v>12320</v>
      </c>
      <c r="K3950">
        <f t="shared" si="61"/>
        <v>568.7720931593567</v>
      </c>
    </row>
    <row r="3951" spans="1:11" x14ac:dyDescent="0.2">
      <c r="A3951" t="s">
        <v>726</v>
      </c>
      <c r="B3951" t="s">
        <v>289</v>
      </c>
      <c r="C3951" t="s">
        <v>12321</v>
      </c>
      <c r="D3951" t="s">
        <v>12322</v>
      </c>
      <c r="E3951" t="s">
        <v>879</v>
      </c>
      <c r="F3951" t="s">
        <v>12</v>
      </c>
      <c r="G3951" t="s">
        <v>17</v>
      </c>
      <c r="H3951">
        <f>73802*(1.01^10)</f>
        <v>81523.322099597732</v>
      </c>
      <c r="I3951">
        <f>480845*(1.01^10)</f>
        <v>531152.02589335071</v>
      </c>
      <c r="J3951" t="s">
        <v>12323</v>
      </c>
      <c r="K3951">
        <f t="shared" si="61"/>
        <v>862.25259851245335</v>
      </c>
    </row>
    <row r="3952" spans="1:11" x14ac:dyDescent="0.2">
      <c r="A3952" t="s">
        <v>726</v>
      </c>
      <c r="B3952" t="s">
        <v>289</v>
      </c>
      <c r="C3952" t="s">
        <v>12324</v>
      </c>
      <c r="D3952" t="s">
        <v>12325</v>
      </c>
      <c r="E3952" t="s">
        <v>520</v>
      </c>
      <c r="F3952" t="s">
        <v>24</v>
      </c>
      <c r="G3952" t="s">
        <v>24</v>
      </c>
      <c r="H3952">
        <f>29325*(1.01^10)</f>
        <v>32393.043827683578</v>
      </c>
      <c r="I3952">
        <f>198879*(1.01^10)</f>
        <v>219686.14367965498</v>
      </c>
      <c r="J3952" t="s">
        <v>12326</v>
      </c>
      <c r="K3952">
        <f t="shared" si="61"/>
        <v>850.52824779371633</v>
      </c>
    </row>
    <row r="3953" spans="1:11" x14ac:dyDescent="0.2">
      <c r="A3953" t="s">
        <v>726</v>
      </c>
      <c r="B3953" t="s">
        <v>289</v>
      </c>
      <c r="C3953" t="s">
        <v>12327</v>
      </c>
      <c r="D3953" t="s">
        <v>12328</v>
      </c>
      <c r="E3953" t="s">
        <v>484</v>
      </c>
      <c r="F3953" t="s">
        <v>24</v>
      </c>
      <c r="G3953" t="s">
        <v>12</v>
      </c>
      <c r="H3953">
        <f>40494*(1.01^10)</f>
        <v>44730.568346401327</v>
      </c>
      <c r="I3953">
        <f>249335*(1.01^10)</f>
        <v>275420.95763940271</v>
      </c>
      <c r="J3953" t="s">
        <v>12329</v>
      </c>
      <c r="K3953">
        <f t="shared" si="61"/>
        <v>479.40683148776162</v>
      </c>
    </row>
    <row r="3954" spans="1:11" x14ac:dyDescent="0.2">
      <c r="A3954" t="s">
        <v>726</v>
      </c>
      <c r="B3954" t="s">
        <v>289</v>
      </c>
      <c r="C3954" t="s">
        <v>12330</v>
      </c>
      <c r="D3954" t="s">
        <v>12331</v>
      </c>
      <c r="E3954" t="s">
        <v>2395</v>
      </c>
      <c r="F3954" t="s">
        <v>24</v>
      </c>
      <c r="G3954" t="s">
        <v>24</v>
      </c>
      <c r="H3954">
        <f>25946*(1.01^10)</f>
        <v>28660.525665919118</v>
      </c>
      <c r="I3954">
        <f>180369*(1.01^10)</f>
        <v>199239.58813829359</v>
      </c>
      <c r="J3954" t="s">
        <v>12332</v>
      </c>
      <c r="K3954">
        <f t="shared" si="61"/>
        <v>425.30224318156172</v>
      </c>
    </row>
    <row r="3955" spans="1:11" x14ac:dyDescent="0.2">
      <c r="A3955" t="s">
        <v>726</v>
      </c>
      <c r="B3955" t="s">
        <v>1034</v>
      </c>
      <c r="C3955" t="s">
        <v>12333</v>
      </c>
      <c r="D3955" t="s">
        <v>12334</v>
      </c>
      <c r="E3955" t="s">
        <v>1233</v>
      </c>
      <c r="F3955" t="s">
        <v>24</v>
      </c>
      <c r="G3955" t="s">
        <v>12</v>
      </c>
      <c r="H3955">
        <f>52708*(1.01^10)</f>
        <v>58222.422986173777</v>
      </c>
      <c r="I3955">
        <f>255009*(1.01^10)</f>
        <v>281688.58357898588</v>
      </c>
      <c r="J3955" t="s">
        <v>12335</v>
      </c>
      <c r="K3955">
        <f t="shared" si="61"/>
        <v>354.35305727416488</v>
      </c>
    </row>
    <row r="3956" spans="1:11" x14ac:dyDescent="0.2">
      <c r="A3956" t="s">
        <v>726</v>
      </c>
      <c r="B3956" t="s">
        <v>1034</v>
      </c>
      <c r="C3956" t="s">
        <v>12336</v>
      </c>
      <c r="D3956" t="s">
        <v>12337</v>
      </c>
      <c r="E3956" t="s">
        <v>253</v>
      </c>
      <c r="F3956" t="s">
        <v>24</v>
      </c>
      <c r="G3956" t="s">
        <v>382</v>
      </c>
      <c r="H3956">
        <f>447490*(1.01^10)</f>
        <v>494307.35490025999</v>
      </c>
      <c r="I3956">
        <f>2009434*(1.01^10)</f>
        <v>2219665.2559535387</v>
      </c>
      <c r="J3956" t="s">
        <v>12338</v>
      </c>
      <c r="K3956">
        <f t="shared" si="61"/>
        <v>3309.588126632515</v>
      </c>
    </row>
    <row r="3957" spans="1:11" x14ac:dyDescent="0.2">
      <c r="A3957" t="s">
        <v>726</v>
      </c>
      <c r="B3957" t="s">
        <v>1034</v>
      </c>
      <c r="C3957" t="s">
        <v>12339</v>
      </c>
      <c r="D3957" t="s">
        <v>12340</v>
      </c>
      <c r="E3957" t="s">
        <v>589</v>
      </c>
      <c r="F3957" t="s">
        <v>12</v>
      </c>
      <c r="G3957" t="s">
        <v>11</v>
      </c>
      <c r="H3957">
        <f>32020*(1.01^10)</f>
        <v>35370.000455666777</v>
      </c>
      <c r="I3957">
        <f>149914*(1.01^10)</f>
        <v>165598.32130889533</v>
      </c>
      <c r="J3957" t="s">
        <v>12341</v>
      </c>
      <c r="K3957">
        <f t="shared" si="61"/>
        <v>292.38274167227792</v>
      </c>
    </row>
    <row r="3958" spans="1:11" x14ac:dyDescent="0.2">
      <c r="A3958" t="s">
        <v>726</v>
      </c>
      <c r="B3958" t="s">
        <v>1034</v>
      </c>
      <c r="C3958" t="s">
        <v>12342</v>
      </c>
      <c r="D3958" t="s">
        <v>12343</v>
      </c>
      <c r="E3958" t="s">
        <v>1994</v>
      </c>
      <c r="F3958" t="s">
        <v>24</v>
      </c>
      <c r="G3958" t="s">
        <v>12</v>
      </c>
      <c r="H3958">
        <f>49416*(1.01^10)</f>
        <v>54586.006949320094</v>
      </c>
      <c r="I3958">
        <f>261425*(1.01^10)</f>
        <v>288775.83913562418</v>
      </c>
      <c r="J3958" t="s">
        <v>12344</v>
      </c>
      <c r="K3958">
        <f t="shared" si="61"/>
        <v>358.13160098368166</v>
      </c>
    </row>
    <row r="3959" spans="1:11" x14ac:dyDescent="0.2">
      <c r="A3959" t="s">
        <v>726</v>
      </c>
      <c r="B3959" t="s">
        <v>1034</v>
      </c>
      <c r="C3959" t="s">
        <v>12345</v>
      </c>
      <c r="D3959" t="s">
        <v>12346</v>
      </c>
      <c r="E3959" t="s">
        <v>2162</v>
      </c>
      <c r="F3959" t="s">
        <v>24</v>
      </c>
      <c r="G3959" t="s">
        <v>12</v>
      </c>
      <c r="H3959">
        <f>41803*(1.01^10)</f>
        <v>46176.518708564588</v>
      </c>
      <c r="I3959">
        <f>241377*(1.01^10)</f>
        <v>266630.37476538034</v>
      </c>
      <c r="J3959" t="s">
        <v>12347</v>
      </c>
      <c r="K3959">
        <f t="shared" si="61"/>
        <v>345.1453552911816</v>
      </c>
    </row>
    <row r="3960" spans="1:11" x14ac:dyDescent="0.2">
      <c r="A3960" t="s">
        <v>726</v>
      </c>
      <c r="B3960" t="s">
        <v>1034</v>
      </c>
      <c r="C3960" t="s">
        <v>12348</v>
      </c>
      <c r="D3960" t="s">
        <v>12349</v>
      </c>
      <c r="E3960" t="s">
        <v>386</v>
      </c>
      <c r="F3960" t="s">
        <v>12</v>
      </c>
      <c r="G3960" t="s">
        <v>12</v>
      </c>
      <c r="H3960">
        <f>37414*(1.01^10)</f>
        <v>41328.332200134813</v>
      </c>
      <c r="I3960">
        <f>210002*(1.01^10)</f>
        <v>231972.85558060382</v>
      </c>
      <c r="J3960" t="s">
        <v>12350</v>
      </c>
      <c r="K3960">
        <f t="shared" si="61"/>
        <v>377.81690246210695</v>
      </c>
    </row>
    <row r="3961" spans="1:11" x14ac:dyDescent="0.2">
      <c r="A3961" t="s">
        <v>726</v>
      </c>
      <c r="B3961" t="s">
        <v>1034</v>
      </c>
      <c r="C3961" t="s">
        <v>12351</v>
      </c>
      <c r="D3961" t="s">
        <v>12352</v>
      </c>
      <c r="E3961" t="s">
        <v>493</v>
      </c>
      <c r="F3961" t="s">
        <v>17</v>
      </c>
      <c r="G3961" t="s">
        <v>12</v>
      </c>
      <c r="H3961">
        <f>29033*(1.01^10)</f>
        <v>32070.494167063509</v>
      </c>
      <c r="I3961">
        <f>155443*(1.01^10)</f>
        <v>171705.77704029391</v>
      </c>
      <c r="J3961" t="s">
        <v>12353</v>
      </c>
      <c r="K3961">
        <f t="shared" si="61"/>
        <v>318.92953232696613</v>
      </c>
    </row>
    <row r="3962" spans="1:11" x14ac:dyDescent="0.2">
      <c r="A3962" t="s">
        <v>726</v>
      </c>
      <c r="B3962" t="s">
        <v>1034</v>
      </c>
      <c r="C3962" t="s">
        <v>12354</v>
      </c>
      <c r="D3962" t="s">
        <v>12355</v>
      </c>
      <c r="E3962" t="s">
        <v>128</v>
      </c>
      <c r="F3962" t="s">
        <v>24</v>
      </c>
      <c r="G3962" t="s">
        <v>17</v>
      </c>
      <c r="H3962">
        <f>42948*(1.01^10)</f>
        <v>47441.311042160421</v>
      </c>
      <c r="I3962">
        <f>203584*(1.01^10)</f>
        <v>224883.39077971471</v>
      </c>
      <c r="J3962" t="s">
        <v>12356</v>
      </c>
      <c r="K3962">
        <f t="shared" si="61"/>
        <v>310.59668621207908</v>
      </c>
    </row>
    <row r="3963" spans="1:11" x14ac:dyDescent="0.2">
      <c r="A3963" t="s">
        <v>726</v>
      </c>
      <c r="B3963" t="s">
        <v>1034</v>
      </c>
      <c r="C3963" t="s">
        <v>12357</v>
      </c>
      <c r="D3963" t="s">
        <v>12358</v>
      </c>
      <c r="E3963" t="s">
        <v>4</v>
      </c>
      <c r="F3963" t="s">
        <v>24</v>
      </c>
      <c r="G3963" t="s">
        <v>12</v>
      </c>
      <c r="H3963">
        <f>38972*(1.01^10)</f>
        <v>43049.333471525475</v>
      </c>
      <c r="I3963">
        <f>180518*(1.01^10)</f>
        <v>199404.17683497985</v>
      </c>
      <c r="J3963" t="s">
        <v>12359</v>
      </c>
      <c r="K3963">
        <f t="shared" si="61"/>
        <v>313.80582118959876</v>
      </c>
    </row>
    <row r="3964" spans="1:11" x14ac:dyDescent="0.2">
      <c r="A3964" t="s">
        <v>726</v>
      </c>
      <c r="B3964" t="s">
        <v>1034</v>
      </c>
      <c r="C3964" t="s">
        <v>12360</v>
      </c>
      <c r="D3964" t="s">
        <v>12361</v>
      </c>
      <c r="E3964" t="s">
        <v>253</v>
      </c>
      <c r="F3964" t="s">
        <v>24</v>
      </c>
      <c r="G3964" t="s">
        <v>12</v>
      </c>
      <c r="H3964">
        <f>55104*(1.01^10)</f>
        <v>60869.097598659027</v>
      </c>
      <c r="I3964">
        <f>265901*(1.01^10)</f>
        <v>293720.12776896474</v>
      </c>
      <c r="J3964" t="s">
        <v>12362</v>
      </c>
      <c r="K3964">
        <f t="shared" si="61"/>
        <v>548.92580157287694</v>
      </c>
    </row>
    <row r="3965" spans="1:11" x14ac:dyDescent="0.2">
      <c r="A3965" t="s">
        <v>726</v>
      </c>
      <c r="B3965" t="s">
        <v>1034</v>
      </c>
      <c r="C3965" t="s">
        <v>12363</v>
      </c>
      <c r="D3965" t="s">
        <v>12364</v>
      </c>
      <c r="E3965" t="s">
        <v>589</v>
      </c>
      <c r="F3965" t="s">
        <v>24</v>
      </c>
      <c r="G3965" t="s">
        <v>12</v>
      </c>
      <c r="H3965">
        <f>35374*(1.01^10)</f>
        <v>39074.903064295955</v>
      </c>
      <c r="I3965">
        <f>167579*(1.01^10)</f>
        <v>185111.47115428429</v>
      </c>
      <c r="J3965" t="s">
        <v>12365</v>
      </c>
      <c r="K3965">
        <f t="shared" si="61"/>
        <v>310.45983634117795</v>
      </c>
    </row>
    <row r="3966" spans="1:11" x14ac:dyDescent="0.2">
      <c r="A3966" t="s">
        <v>726</v>
      </c>
      <c r="B3966" t="s">
        <v>1034</v>
      </c>
      <c r="C3966" t="s">
        <v>12366</v>
      </c>
      <c r="D3966" t="s">
        <v>12367</v>
      </c>
      <c r="E3966" t="s">
        <v>185</v>
      </c>
      <c r="F3966" t="s">
        <v>24</v>
      </c>
      <c r="G3966" t="s">
        <v>24</v>
      </c>
      <c r="H3966">
        <f>14824*(1.01^10)</f>
        <v>16374.918387095699</v>
      </c>
      <c r="I3966">
        <f>65440*(1.01^10)</f>
        <v>72286.471886909232</v>
      </c>
      <c r="J3966" t="s">
        <v>12368</v>
      </c>
      <c r="K3966">
        <f t="shared" si="61"/>
        <v>247.56973706502592</v>
      </c>
    </row>
    <row r="3967" spans="1:11" x14ac:dyDescent="0.2">
      <c r="A3967" t="s">
        <v>726</v>
      </c>
      <c r="B3967" t="s">
        <v>2903</v>
      </c>
      <c r="C3967" t="s">
        <v>12369</v>
      </c>
      <c r="D3967" t="s">
        <v>12370</v>
      </c>
      <c r="E3967" t="s">
        <v>611</v>
      </c>
      <c r="F3967" t="s">
        <v>24</v>
      </c>
      <c r="G3967" t="s">
        <v>24</v>
      </c>
      <c r="H3967">
        <f>13240*(1.01^10)</f>
        <v>14625.196940444352</v>
      </c>
      <c r="I3967">
        <f>63871*(1.01^10)</f>
        <v>70553.319772139061</v>
      </c>
      <c r="J3967" t="s">
        <v>12371</v>
      </c>
      <c r="K3967">
        <f t="shared" si="61"/>
        <v>284.84311815728034</v>
      </c>
    </row>
    <row r="3968" spans="1:11" x14ac:dyDescent="0.2">
      <c r="A3968" t="s">
        <v>726</v>
      </c>
      <c r="B3968" t="s">
        <v>2903</v>
      </c>
      <c r="C3968" t="s">
        <v>12372</v>
      </c>
      <c r="D3968" t="s">
        <v>12373</v>
      </c>
      <c r="E3968" t="s">
        <v>740</v>
      </c>
      <c r="F3968" t="s">
        <v>12</v>
      </c>
      <c r="G3968" t="s">
        <v>17</v>
      </c>
      <c r="H3968">
        <f>50839*(1.01^10)</f>
        <v>56157.884233780242</v>
      </c>
      <c r="I3968">
        <f>241053*(1.01^10)</f>
        <v>266272.47719674715</v>
      </c>
      <c r="J3968" t="s">
        <v>12374</v>
      </c>
      <c r="K3968">
        <f t="shared" si="61"/>
        <v>240.66697891814948</v>
      </c>
    </row>
    <row r="3969" spans="1:11" x14ac:dyDescent="0.2">
      <c r="A3969" t="s">
        <v>726</v>
      </c>
      <c r="B3969" t="s">
        <v>2903</v>
      </c>
      <c r="C3969" t="s">
        <v>12375</v>
      </c>
      <c r="D3969" t="s">
        <v>12376</v>
      </c>
      <c r="E3969" t="s">
        <v>3215</v>
      </c>
      <c r="F3969" t="s">
        <v>789</v>
      </c>
      <c r="G3969" t="s">
        <v>12</v>
      </c>
      <c r="H3969">
        <f>35271*(1.01^10)</f>
        <v>38961.1269853786</v>
      </c>
      <c r="I3969">
        <f>174449*(1.01^10)</f>
        <v>192700.22515585925</v>
      </c>
      <c r="J3969" t="s">
        <v>12377</v>
      </c>
      <c r="K3969">
        <f t="shared" si="61"/>
        <v>183.01712997510029</v>
      </c>
    </row>
    <row r="3970" spans="1:11" x14ac:dyDescent="0.2">
      <c r="A3970" t="s">
        <v>726</v>
      </c>
      <c r="B3970" t="s">
        <v>2903</v>
      </c>
      <c r="C3970" t="s">
        <v>12378</v>
      </c>
      <c r="D3970" t="s">
        <v>12379</v>
      </c>
      <c r="E3970" t="s">
        <v>1060</v>
      </c>
      <c r="F3970" t="s">
        <v>92</v>
      </c>
      <c r="G3970" t="s">
        <v>17</v>
      </c>
      <c r="H3970">
        <f>22824*(1.01^10)</f>
        <v>25211.895390385336</v>
      </c>
      <c r="I3970">
        <f>110924*(1.01^10)</f>
        <v>122529.10463911247</v>
      </c>
      <c r="J3970" t="s">
        <v>12380</v>
      </c>
      <c r="K3970">
        <f t="shared" si="61"/>
        <v>298.84701978212939</v>
      </c>
    </row>
    <row r="3971" spans="1:11" x14ac:dyDescent="0.2">
      <c r="A3971" t="s">
        <v>726</v>
      </c>
      <c r="B3971" t="s">
        <v>6181</v>
      </c>
      <c r="C3971" t="s">
        <v>12381</v>
      </c>
      <c r="D3971" t="s">
        <v>12382</v>
      </c>
      <c r="E3971" t="s">
        <v>1195</v>
      </c>
      <c r="F3971" t="s">
        <v>24</v>
      </c>
      <c r="G3971" t="s">
        <v>12</v>
      </c>
      <c r="H3971">
        <f>40620*(1.01^10)</f>
        <v>44869.750734203139</v>
      </c>
      <c r="I3971">
        <f>197038*(1.01^10)</f>
        <v>217652.53434677297</v>
      </c>
      <c r="J3971" t="s">
        <v>12383</v>
      </c>
      <c r="K3971">
        <f t="shared" ref="K3971:K4034" si="62">I3971/J3971</f>
        <v>150.75891611705785</v>
      </c>
    </row>
    <row r="3972" spans="1:11" x14ac:dyDescent="0.2">
      <c r="A3972" t="s">
        <v>726</v>
      </c>
      <c r="B3972" t="s">
        <v>6181</v>
      </c>
      <c r="C3972" t="s">
        <v>12384</v>
      </c>
      <c r="D3972" t="s">
        <v>12385</v>
      </c>
      <c r="E3972" t="s">
        <v>126</v>
      </c>
      <c r="F3972" t="s">
        <v>24</v>
      </c>
      <c r="G3972" t="s">
        <v>12</v>
      </c>
      <c r="H3972">
        <f>19291*(1.01^10)</f>
        <v>21309.265421307551</v>
      </c>
      <c r="I3972">
        <f>93819*(1.01^10)</f>
        <v>103634.54318395382</v>
      </c>
      <c r="J3972" t="s">
        <v>12386</v>
      </c>
      <c r="K3972">
        <f t="shared" si="62"/>
        <v>230.65257620554823</v>
      </c>
    </row>
    <row r="3973" spans="1:11" x14ac:dyDescent="0.2">
      <c r="A3973" t="s">
        <v>726</v>
      </c>
      <c r="B3973" t="s">
        <v>6181</v>
      </c>
      <c r="C3973" t="s">
        <v>12387</v>
      </c>
      <c r="D3973" t="s">
        <v>12388</v>
      </c>
      <c r="E3973" t="s">
        <v>998</v>
      </c>
      <c r="F3973" t="s">
        <v>12</v>
      </c>
      <c r="G3973" t="s">
        <v>24</v>
      </c>
      <c r="H3973">
        <f>21590*(1.01^10)</f>
        <v>23848.791687627909</v>
      </c>
      <c r="I3973">
        <f>100044*(1.01^10)</f>
        <v>110510.81591463857</v>
      </c>
      <c r="J3973" t="s">
        <v>12389</v>
      </c>
      <c r="K3973">
        <f t="shared" si="62"/>
        <v>67.224388215515461</v>
      </c>
    </row>
    <row r="3974" spans="1:11" x14ac:dyDescent="0.2">
      <c r="A3974" t="s">
        <v>726</v>
      </c>
      <c r="B3974" t="s">
        <v>6181</v>
      </c>
      <c r="C3974" t="s">
        <v>12390</v>
      </c>
      <c r="D3974" t="s">
        <v>12391</v>
      </c>
      <c r="E3974" t="s">
        <v>1387</v>
      </c>
      <c r="F3974" t="s">
        <v>24</v>
      </c>
      <c r="G3974" t="s">
        <v>152</v>
      </c>
      <c r="H3974">
        <f>96142*(1.01^10)</f>
        <v>106200.58038128405</v>
      </c>
      <c r="I3974">
        <f>452517*(1.01^10)</f>
        <v>499860.29032470216</v>
      </c>
      <c r="J3974" t="s">
        <v>12392</v>
      </c>
      <c r="K3974">
        <f t="shared" si="62"/>
        <v>788.75668963488567</v>
      </c>
    </row>
    <row r="3975" spans="1:11" x14ac:dyDescent="0.2">
      <c r="A3975" t="s">
        <v>726</v>
      </c>
      <c r="B3975" t="s">
        <v>6181</v>
      </c>
      <c r="C3975" t="s">
        <v>12393</v>
      </c>
      <c r="D3975" t="s">
        <v>12394</v>
      </c>
      <c r="E3975" t="s">
        <v>1401</v>
      </c>
      <c r="F3975" t="s">
        <v>11</v>
      </c>
      <c r="G3975" t="s">
        <v>24</v>
      </c>
      <c r="H3975">
        <f>39766*(1.01^10)</f>
        <v>43926.403439101967</v>
      </c>
      <c r="I3975">
        <f>185337*(1.01^10)</f>
        <v>204727.35085733645</v>
      </c>
      <c r="J3975" t="s">
        <v>12395</v>
      </c>
      <c r="K3975">
        <f t="shared" si="62"/>
        <v>253.15984798566089</v>
      </c>
    </row>
    <row r="3976" spans="1:11" x14ac:dyDescent="0.2">
      <c r="A3976" t="s">
        <v>726</v>
      </c>
      <c r="B3976" t="s">
        <v>6181</v>
      </c>
      <c r="C3976" t="s">
        <v>12396</v>
      </c>
      <c r="D3976" t="s">
        <v>12397</v>
      </c>
      <c r="E3976" t="s">
        <v>1580</v>
      </c>
      <c r="F3976" t="s">
        <v>12</v>
      </c>
      <c r="G3976" t="s">
        <v>152</v>
      </c>
      <c r="H3976">
        <f>70782*(1.01^10)</f>
        <v>78187.36328085589</v>
      </c>
      <c r="I3976">
        <f>315596*(1.01^10)</f>
        <v>348614.32429127459</v>
      </c>
      <c r="J3976" t="s">
        <v>12398</v>
      </c>
      <c r="K3976">
        <f t="shared" si="62"/>
        <v>766.31636637705174</v>
      </c>
    </row>
    <row r="3977" spans="1:11" x14ac:dyDescent="0.2">
      <c r="A3977" t="s">
        <v>726</v>
      </c>
      <c r="B3977" t="s">
        <v>6181</v>
      </c>
      <c r="C3977" t="s">
        <v>12399</v>
      </c>
      <c r="D3977" t="s">
        <v>12400</v>
      </c>
      <c r="E3977" t="s">
        <v>789</v>
      </c>
      <c r="F3977" t="s">
        <v>24</v>
      </c>
      <c r="G3977" t="s">
        <v>12</v>
      </c>
      <c r="H3977">
        <f>13701*(1.01^10)</f>
        <v>15134.427740258916</v>
      </c>
      <c r="I3977">
        <f>61268*(1.01^10)</f>
        <v>67677.988379693692</v>
      </c>
      <c r="J3977" t="s">
        <v>12401</v>
      </c>
      <c r="K3977">
        <f t="shared" si="62"/>
        <v>121.33088544899745</v>
      </c>
    </row>
    <row r="3978" spans="1:11" x14ac:dyDescent="0.2">
      <c r="A3978" t="s">
        <v>726</v>
      </c>
      <c r="B3978" t="s">
        <v>6181</v>
      </c>
      <c r="C3978" t="s">
        <v>12402</v>
      </c>
      <c r="D3978" t="s">
        <v>12403</v>
      </c>
      <c r="E3978" t="s">
        <v>36</v>
      </c>
      <c r="F3978" t="s">
        <v>12</v>
      </c>
      <c r="G3978" t="s">
        <v>17</v>
      </c>
      <c r="H3978">
        <f>31591*(1.01^10)</f>
        <v>34896.117563865366</v>
      </c>
      <c r="I3978">
        <f>145400*(1.01^10)</f>
        <v>160612.05703478918</v>
      </c>
      <c r="J3978" t="s">
        <v>12404</v>
      </c>
      <c r="K3978">
        <f t="shared" si="62"/>
        <v>310.70447592921221</v>
      </c>
    </row>
    <row r="3979" spans="1:11" x14ac:dyDescent="0.2">
      <c r="A3979" t="s">
        <v>726</v>
      </c>
      <c r="B3979" t="s">
        <v>8066</v>
      </c>
      <c r="C3979" t="s">
        <v>12405</v>
      </c>
      <c r="D3979" t="s">
        <v>12406</v>
      </c>
      <c r="E3979" t="s">
        <v>2528</v>
      </c>
      <c r="F3979" t="s">
        <v>24</v>
      </c>
      <c r="G3979" t="s">
        <v>11</v>
      </c>
      <c r="H3979">
        <f>44699*(1.01^10)</f>
        <v>49375.50438375544</v>
      </c>
      <c r="I3979">
        <f>228291*(1.01^10)</f>
        <v>252175.28963224933</v>
      </c>
      <c r="J3979" t="s">
        <v>12407</v>
      </c>
      <c r="K3979">
        <f t="shared" si="62"/>
        <v>142.79471554583884</v>
      </c>
    </row>
    <row r="3980" spans="1:11" x14ac:dyDescent="0.2">
      <c r="A3980" t="s">
        <v>726</v>
      </c>
      <c r="B3980" t="s">
        <v>1565</v>
      </c>
      <c r="C3980" t="s">
        <v>12408</v>
      </c>
      <c r="D3980" t="s">
        <v>12409</v>
      </c>
      <c r="E3980" t="s">
        <v>137</v>
      </c>
      <c r="F3980" t="s">
        <v>24</v>
      </c>
      <c r="G3980" t="s">
        <v>5</v>
      </c>
      <c r="H3980">
        <f>70162*(1.01^10)</f>
        <v>77502.497563100944</v>
      </c>
      <c r="I3980">
        <f>311238*(1.01^10)</f>
        <v>343800.38106873253</v>
      </c>
      <c r="J3980" t="s">
        <v>12410</v>
      </c>
      <c r="K3980">
        <f t="shared" si="62"/>
        <v>1341.5715198826576</v>
      </c>
    </row>
    <row r="3981" spans="1:11" x14ac:dyDescent="0.2">
      <c r="A3981" t="s">
        <v>726</v>
      </c>
      <c r="B3981" t="s">
        <v>1565</v>
      </c>
      <c r="C3981" t="s">
        <v>12411</v>
      </c>
      <c r="D3981" t="s">
        <v>12412</v>
      </c>
      <c r="E3981" t="s">
        <v>1362</v>
      </c>
      <c r="F3981" t="s">
        <v>24</v>
      </c>
      <c r="G3981" t="s">
        <v>17</v>
      </c>
      <c r="H3981">
        <f>52550*(1.01^10)</f>
        <v>58047.892690358807</v>
      </c>
      <c r="I3981">
        <f>228065*(1.01^10)</f>
        <v>251925.6450319064</v>
      </c>
      <c r="J3981" t="s">
        <v>12413</v>
      </c>
      <c r="K3981">
        <f t="shared" si="62"/>
        <v>501.99326353258971</v>
      </c>
    </row>
    <row r="3982" spans="1:11" x14ac:dyDescent="0.2">
      <c r="A3982" t="s">
        <v>726</v>
      </c>
      <c r="B3982" t="s">
        <v>1565</v>
      </c>
      <c r="C3982" t="s">
        <v>12414</v>
      </c>
      <c r="D3982" t="s">
        <v>12415</v>
      </c>
      <c r="E3982" t="s">
        <v>3122</v>
      </c>
      <c r="F3982" t="s">
        <v>24</v>
      </c>
      <c r="G3982" t="s">
        <v>92</v>
      </c>
      <c r="H3982">
        <f>56528*(1.01^10)</f>
        <v>62442.079505244583</v>
      </c>
      <c r="I3982">
        <f>249264*(1.01^10)</f>
        <v>275342.52946849854</v>
      </c>
      <c r="J3982" t="s">
        <v>12416</v>
      </c>
      <c r="K3982">
        <f t="shared" si="62"/>
        <v>923.75204887884058</v>
      </c>
    </row>
    <row r="3983" spans="1:11" x14ac:dyDescent="0.2">
      <c r="A3983" t="s">
        <v>726</v>
      </c>
      <c r="B3983" t="s">
        <v>1565</v>
      </c>
      <c r="C3983" t="s">
        <v>12417</v>
      </c>
      <c r="D3983" t="s">
        <v>12418</v>
      </c>
      <c r="E3983" t="s">
        <v>324</v>
      </c>
      <c r="F3983" t="s">
        <v>24</v>
      </c>
      <c r="G3983" t="s">
        <v>12</v>
      </c>
      <c r="H3983">
        <f>68261*(1.01^10)</f>
        <v>75402.610902694243</v>
      </c>
      <c r="I3983">
        <f>309877*(1.01^10)</f>
        <v>342296.99035604787</v>
      </c>
      <c r="J3983" t="s">
        <v>12419</v>
      </c>
      <c r="K3983">
        <f t="shared" si="62"/>
        <v>582.66285306347424</v>
      </c>
    </row>
    <row r="3984" spans="1:11" x14ac:dyDescent="0.2">
      <c r="A3984" t="s">
        <v>726</v>
      </c>
      <c r="B3984" t="s">
        <v>1565</v>
      </c>
      <c r="C3984" t="s">
        <v>12420</v>
      </c>
      <c r="D3984" t="s">
        <v>12421</v>
      </c>
      <c r="E3984" t="s">
        <v>172</v>
      </c>
      <c r="F3984" t="s">
        <v>24</v>
      </c>
      <c r="G3984" t="s">
        <v>12</v>
      </c>
      <c r="H3984">
        <f>47630*(1.01^10)</f>
        <v>52613.15183333568</v>
      </c>
      <c r="I3984">
        <f>231228*(1.01^10)</f>
        <v>255419.56481458206</v>
      </c>
      <c r="J3984" t="s">
        <v>12422</v>
      </c>
      <c r="K3984">
        <f t="shared" si="62"/>
        <v>424.04364259044695</v>
      </c>
    </row>
    <row r="3985" spans="1:11" x14ac:dyDescent="0.2">
      <c r="A3985" t="s">
        <v>726</v>
      </c>
      <c r="B3985" t="s">
        <v>1755</v>
      </c>
      <c r="C3985" t="s">
        <v>12423</v>
      </c>
      <c r="D3985" t="s">
        <v>12424</v>
      </c>
      <c r="E3985" t="s">
        <v>879</v>
      </c>
      <c r="F3985" t="s">
        <v>12</v>
      </c>
      <c r="G3985" t="s">
        <v>152</v>
      </c>
      <c r="H3985">
        <f>93797*(1.01^10)</f>
        <v>103610.24149719477</v>
      </c>
      <c r="I3985">
        <f>415140*(1.01^10)</f>
        <v>458572.82914320752</v>
      </c>
      <c r="J3985" t="s">
        <v>12425</v>
      </c>
      <c r="K3985">
        <f t="shared" si="62"/>
        <v>875.94572332051689</v>
      </c>
    </row>
    <row r="3986" spans="1:11" x14ac:dyDescent="0.2">
      <c r="A3986" t="s">
        <v>726</v>
      </c>
      <c r="B3986" t="s">
        <v>1755</v>
      </c>
      <c r="C3986" t="s">
        <v>12426</v>
      </c>
      <c r="D3986" t="s">
        <v>12427</v>
      </c>
      <c r="E3986" t="s">
        <v>1617</v>
      </c>
      <c r="F3986" t="s">
        <v>24</v>
      </c>
      <c r="G3986" t="s">
        <v>12</v>
      </c>
      <c r="H3986">
        <f>41496*(1.01^10)</f>
        <v>45837.399716063352</v>
      </c>
      <c r="I3986">
        <f>215872*(1.01^10)</f>
        <v>238456.98745676759</v>
      </c>
      <c r="J3986" t="s">
        <v>12428</v>
      </c>
      <c r="K3986">
        <f t="shared" si="62"/>
        <v>328.55513262203976</v>
      </c>
    </row>
    <row r="3987" spans="1:11" x14ac:dyDescent="0.2">
      <c r="A3987" t="s">
        <v>726</v>
      </c>
      <c r="B3987" t="s">
        <v>1755</v>
      </c>
      <c r="C3987" t="s">
        <v>12429</v>
      </c>
      <c r="D3987" t="s">
        <v>12430</v>
      </c>
      <c r="E3987" t="s">
        <v>535</v>
      </c>
      <c r="F3987" t="s">
        <v>24</v>
      </c>
      <c r="G3987" t="s">
        <v>405</v>
      </c>
      <c r="H3987">
        <f>120933*(1.01^10)</f>
        <v>133585.26749235322</v>
      </c>
      <c r="I3987">
        <f>518814*(1.01^10)</f>
        <v>573093.42337308882</v>
      </c>
      <c r="J3987" t="s">
        <v>12431</v>
      </c>
      <c r="K3987">
        <f t="shared" si="62"/>
        <v>1309.7628430800214</v>
      </c>
    </row>
    <row r="3988" spans="1:11" x14ac:dyDescent="0.2">
      <c r="A3988" t="s">
        <v>726</v>
      </c>
      <c r="B3988" t="s">
        <v>1755</v>
      </c>
      <c r="C3988" t="s">
        <v>12432</v>
      </c>
      <c r="D3988" t="s">
        <v>12433</v>
      </c>
      <c r="E3988" t="s">
        <v>555</v>
      </c>
      <c r="F3988" t="s">
        <v>24</v>
      </c>
      <c r="G3988" t="s">
        <v>24</v>
      </c>
      <c r="H3988">
        <f>44972*(1.01^10)</f>
        <v>49677.066223992697</v>
      </c>
      <c r="I3988">
        <f>258888*(1.01^10)</f>
        <v>285973.41280345595</v>
      </c>
      <c r="J3988" t="s">
        <v>12434</v>
      </c>
      <c r="K3988">
        <f t="shared" si="62"/>
        <v>301.70527537693499</v>
      </c>
    </row>
    <row r="3989" spans="1:11" x14ac:dyDescent="0.2">
      <c r="A3989" t="s">
        <v>726</v>
      </c>
      <c r="B3989" t="s">
        <v>1755</v>
      </c>
      <c r="C3989" t="s">
        <v>12435</v>
      </c>
      <c r="D3989" t="s">
        <v>12436</v>
      </c>
      <c r="E3989" t="s">
        <v>131</v>
      </c>
      <c r="F3989" t="s">
        <v>24</v>
      </c>
      <c r="G3989" t="s">
        <v>744</v>
      </c>
      <c r="H3989">
        <f>63205*(1.01^10)</f>
        <v>69817.641436615202</v>
      </c>
      <c r="I3989">
        <f>296964*(1.01^10)</f>
        <v>328033.00485061301</v>
      </c>
      <c r="J3989" t="s">
        <v>12437</v>
      </c>
      <c r="K3989">
        <f t="shared" si="62"/>
        <v>878.74774850193808</v>
      </c>
    </row>
    <row r="3990" spans="1:11" x14ac:dyDescent="0.2">
      <c r="A3990" t="s">
        <v>726</v>
      </c>
      <c r="B3990" t="s">
        <v>12438</v>
      </c>
      <c r="C3990" t="s">
        <v>12439</v>
      </c>
      <c r="D3990" t="s">
        <v>12440</v>
      </c>
      <c r="E3990" t="s">
        <v>489</v>
      </c>
      <c r="F3990" t="s">
        <v>24</v>
      </c>
      <c r="G3990" t="s">
        <v>17</v>
      </c>
      <c r="H3990">
        <f>42802*(1.01^10)</f>
        <v>47280.036211850384</v>
      </c>
      <c r="I3990">
        <f>196846*(1.01^10)</f>
        <v>217440.446898694</v>
      </c>
      <c r="J3990" t="s">
        <v>12441</v>
      </c>
      <c r="K3990">
        <f t="shared" si="62"/>
        <v>301.70289603143584</v>
      </c>
    </row>
    <row r="3991" spans="1:11" x14ac:dyDescent="0.2">
      <c r="A3991" t="s">
        <v>726</v>
      </c>
      <c r="B3991" t="s">
        <v>12438</v>
      </c>
      <c r="C3991" t="s">
        <v>12442</v>
      </c>
      <c r="D3991" t="s">
        <v>2584</v>
      </c>
      <c r="E3991" t="s">
        <v>2395</v>
      </c>
      <c r="F3991" t="s">
        <v>24</v>
      </c>
      <c r="G3991" t="s">
        <v>17</v>
      </c>
      <c r="H3991">
        <f>44606*(1.01^10)</f>
        <v>49272.774526092202</v>
      </c>
      <c r="I3991">
        <f>209054*(1.01^10)</f>
        <v>230925.673805714</v>
      </c>
      <c r="J3991" t="s">
        <v>12443</v>
      </c>
      <c r="K3991">
        <f t="shared" si="62"/>
        <v>372.47835753172666</v>
      </c>
    </row>
    <row r="3992" spans="1:11" x14ac:dyDescent="0.2">
      <c r="A3992" t="s">
        <v>726</v>
      </c>
      <c r="B3992" t="s">
        <v>12438</v>
      </c>
      <c r="C3992" t="s">
        <v>12444</v>
      </c>
      <c r="D3992" t="s">
        <v>12445</v>
      </c>
      <c r="E3992" t="s">
        <v>1545</v>
      </c>
      <c r="F3992" t="s">
        <v>24</v>
      </c>
      <c r="G3992" t="s">
        <v>24</v>
      </c>
      <c r="H3992">
        <f>17338*(1.01^10)</f>
        <v>19151.938410379469</v>
      </c>
      <c r="I3992">
        <f>83723*(1.01^10)</f>
        <v>92482.2782058023</v>
      </c>
      <c r="J3992" t="s">
        <v>12446</v>
      </c>
      <c r="K3992">
        <f t="shared" si="62"/>
        <v>214.62828507411666</v>
      </c>
    </row>
    <row r="3993" spans="1:11" x14ac:dyDescent="0.2">
      <c r="A3993" t="s">
        <v>726</v>
      </c>
      <c r="B3993" t="s">
        <v>12438</v>
      </c>
      <c r="C3993" t="s">
        <v>12447</v>
      </c>
      <c r="D3993" t="s">
        <v>11838</v>
      </c>
      <c r="E3993" t="s">
        <v>1295</v>
      </c>
      <c r="F3993" t="s">
        <v>411</v>
      </c>
      <c r="G3993" t="s">
        <v>12</v>
      </c>
      <c r="H3993">
        <f>42549*(1.01^10)</f>
        <v>47000.566814121354</v>
      </c>
      <c r="I3993">
        <f>195949*(1.01^10)</f>
        <v>216449.60085220015</v>
      </c>
      <c r="J3993" t="s">
        <v>12448</v>
      </c>
      <c r="K3993">
        <f t="shared" si="62"/>
        <v>283.60509790254093</v>
      </c>
    </row>
    <row r="3994" spans="1:11" x14ac:dyDescent="0.2">
      <c r="A3994" t="s">
        <v>726</v>
      </c>
      <c r="B3994" t="s">
        <v>12438</v>
      </c>
      <c r="C3994" t="s">
        <v>12449</v>
      </c>
      <c r="D3994" t="s">
        <v>12450</v>
      </c>
      <c r="E3994" t="s">
        <v>121</v>
      </c>
      <c r="F3994" t="s">
        <v>24</v>
      </c>
      <c r="G3994" t="s">
        <v>12</v>
      </c>
      <c r="H3994">
        <f>39445*(1.01^10)</f>
        <v>43571.819736844969</v>
      </c>
      <c r="I3994">
        <f>184554*(1.01^10)</f>
        <v>203862.43173313947</v>
      </c>
      <c r="J3994" t="s">
        <v>12451</v>
      </c>
      <c r="K3994">
        <f t="shared" si="62"/>
        <v>520.75719628930983</v>
      </c>
    </row>
    <row r="3995" spans="1:11" x14ac:dyDescent="0.2">
      <c r="A3995" t="s">
        <v>726</v>
      </c>
      <c r="B3995" t="s">
        <v>12438</v>
      </c>
      <c r="C3995" t="s">
        <v>12452</v>
      </c>
      <c r="D3995" t="s">
        <v>12453</v>
      </c>
      <c r="E3995" t="s">
        <v>24</v>
      </c>
      <c r="F3995" t="s">
        <v>24</v>
      </c>
      <c r="G3995" t="s">
        <v>12</v>
      </c>
      <c r="H3995">
        <f>975797*(1.01^10)</f>
        <v>1077886.9561098774</v>
      </c>
      <c r="I3995">
        <f>4467797*(1.01^10)</f>
        <v>4935227.4180458039</v>
      </c>
      <c r="J3995" t="s">
        <v>12454</v>
      </c>
      <c r="K3995">
        <f t="shared" si="62"/>
        <v>14696.075212986336</v>
      </c>
    </row>
    <row r="3996" spans="1:11" x14ac:dyDescent="0.2">
      <c r="A3996" t="s">
        <v>726</v>
      </c>
      <c r="B3996" t="s">
        <v>12438</v>
      </c>
      <c r="C3996" t="s">
        <v>12455</v>
      </c>
      <c r="D3996" t="s">
        <v>12456</v>
      </c>
      <c r="E3996" t="s">
        <v>47</v>
      </c>
      <c r="F3996" t="s">
        <v>11</v>
      </c>
      <c r="G3996" t="s">
        <v>405</v>
      </c>
      <c r="H3996">
        <f>55475*(1.01^10)</f>
        <v>61278.912407186581</v>
      </c>
      <c r="I3996">
        <f>229277*(1.01^10)</f>
        <v>253264.4470479048</v>
      </c>
      <c r="J3996" t="s">
        <v>12457</v>
      </c>
      <c r="K3996">
        <f t="shared" si="62"/>
        <v>814.82376020069569</v>
      </c>
    </row>
    <row r="3997" spans="1:11" x14ac:dyDescent="0.2">
      <c r="A3997" t="s">
        <v>726</v>
      </c>
      <c r="B3997" t="s">
        <v>12438</v>
      </c>
      <c r="C3997" t="s">
        <v>12458</v>
      </c>
      <c r="D3997" t="s">
        <v>12459</v>
      </c>
      <c r="E3997" t="s">
        <v>333</v>
      </c>
      <c r="F3997" t="s">
        <v>24</v>
      </c>
      <c r="G3997" t="s">
        <v>11</v>
      </c>
      <c r="H3997">
        <f>34274*(1.01^10)</f>
        <v>37859.818726343634</v>
      </c>
      <c r="I3997">
        <f>145052*(1.01^10)</f>
        <v>160227.64853514606</v>
      </c>
      <c r="J3997" t="s">
        <v>12460</v>
      </c>
      <c r="K3997">
        <f t="shared" si="62"/>
        <v>764.91121070604208</v>
      </c>
    </row>
    <row r="3998" spans="1:11" x14ac:dyDescent="0.2">
      <c r="A3998" t="s">
        <v>726</v>
      </c>
      <c r="B3998" t="s">
        <v>12438</v>
      </c>
      <c r="C3998" t="s">
        <v>12461</v>
      </c>
      <c r="D3998" t="s">
        <v>12462</v>
      </c>
      <c r="E3998" t="s">
        <v>1195</v>
      </c>
      <c r="F3998" t="s">
        <v>11</v>
      </c>
      <c r="G3998" t="s">
        <v>17</v>
      </c>
      <c r="H3998">
        <f>48590*(1.01^10)</f>
        <v>53673.589073730436</v>
      </c>
      <c r="I3998">
        <f>224164*(1.01^10)</f>
        <v>247616.51412067731</v>
      </c>
      <c r="J3998" t="s">
        <v>12463</v>
      </c>
      <c r="K3998">
        <f t="shared" si="62"/>
        <v>623.39668558960739</v>
      </c>
    </row>
    <row r="3999" spans="1:11" x14ac:dyDescent="0.2">
      <c r="A3999" t="s">
        <v>726</v>
      </c>
      <c r="B3999" t="s">
        <v>12438</v>
      </c>
      <c r="C3999" t="s">
        <v>12464</v>
      </c>
      <c r="D3999" t="s">
        <v>12227</v>
      </c>
      <c r="E3999" t="s">
        <v>537</v>
      </c>
      <c r="F3999" t="s">
        <v>24</v>
      </c>
      <c r="G3999" t="s">
        <v>24</v>
      </c>
      <c r="H3999">
        <f>32324*(1.01^10)</f>
        <v>35705.805581791785</v>
      </c>
      <c r="I3999">
        <f>144906*(1.01^10)</f>
        <v>160066.37370483603</v>
      </c>
      <c r="J3999" t="s">
        <v>12465</v>
      </c>
      <c r="K3999">
        <f t="shared" si="62"/>
        <v>433.2855163298139</v>
      </c>
    </row>
    <row r="4000" spans="1:11" x14ac:dyDescent="0.2">
      <c r="A4000" t="s">
        <v>726</v>
      </c>
      <c r="B4000" t="s">
        <v>12466</v>
      </c>
      <c r="C4000" t="s">
        <v>12467</v>
      </c>
      <c r="D4000" t="s">
        <v>12468</v>
      </c>
      <c r="E4000" t="s">
        <v>91</v>
      </c>
      <c r="F4000" t="s">
        <v>56</v>
      </c>
      <c r="G4000" t="s">
        <v>24</v>
      </c>
      <c r="H4000">
        <f>27917*(1.01^10)</f>
        <v>30837.735875104601</v>
      </c>
      <c r="I4000">
        <f>129969*(1.01^10)</f>
        <v>143566.63301756888</v>
      </c>
      <c r="J4000" t="s">
        <v>12469</v>
      </c>
      <c r="K4000">
        <f t="shared" si="62"/>
        <v>357.60498958367128</v>
      </c>
    </row>
    <row r="4001" spans="1:11" x14ac:dyDescent="0.2">
      <c r="A4001" t="s">
        <v>726</v>
      </c>
      <c r="B4001" t="s">
        <v>12466</v>
      </c>
      <c r="C4001" t="s">
        <v>12470</v>
      </c>
      <c r="D4001" t="s">
        <v>12471</v>
      </c>
      <c r="E4001" t="s">
        <v>829</v>
      </c>
      <c r="F4001" t="s">
        <v>92</v>
      </c>
      <c r="G4001" t="s">
        <v>24</v>
      </c>
      <c r="H4001">
        <f>20619*(1.01^10)</f>
        <v>22776.203603853632</v>
      </c>
      <c r="I4001">
        <f>88416*(1.01^10)</f>
        <v>97666.269840357083</v>
      </c>
      <c r="J4001" t="s">
        <v>12472</v>
      </c>
      <c r="K4001">
        <f t="shared" si="62"/>
        <v>172.75025091435816</v>
      </c>
    </row>
    <row r="4002" spans="1:11" x14ac:dyDescent="0.2">
      <c r="A4002" t="s">
        <v>726</v>
      </c>
      <c r="B4002" t="s">
        <v>12466</v>
      </c>
      <c r="C4002" t="s">
        <v>12473</v>
      </c>
      <c r="D4002" t="s">
        <v>12474</v>
      </c>
      <c r="E4002" t="s">
        <v>347</v>
      </c>
      <c r="F4002" t="s">
        <v>11</v>
      </c>
      <c r="G4002" t="s">
        <v>11</v>
      </c>
      <c r="H4002">
        <f>49427*(1.01^10)</f>
        <v>54598.157792699618</v>
      </c>
      <c r="I4002">
        <f>229782*(1.01^10)</f>
        <v>253822.28122123744</v>
      </c>
      <c r="J4002" t="s">
        <v>12475</v>
      </c>
      <c r="K4002">
        <f t="shared" si="62"/>
        <v>219.78876384862022</v>
      </c>
    </row>
    <row r="4003" spans="1:11" x14ac:dyDescent="0.2">
      <c r="A4003" t="s">
        <v>726</v>
      </c>
      <c r="B4003" t="s">
        <v>12466</v>
      </c>
      <c r="C4003" t="s">
        <v>12476</v>
      </c>
      <c r="D4003" t="s">
        <v>12477</v>
      </c>
      <c r="E4003" t="s">
        <v>1446</v>
      </c>
      <c r="F4003" t="s">
        <v>12</v>
      </c>
      <c r="G4003" t="s">
        <v>12</v>
      </c>
      <c r="H4003">
        <f>58960*(1.01^10)</f>
        <v>65128.520514244628</v>
      </c>
      <c r="I4003">
        <f>268289*(1.01^10)</f>
        <v>296357.9654044467</v>
      </c>
      <c r="J4003" t="s">
        <v>12478</v>
      </c>
      <c r="K4003">
        <f t="shared" si="62"/>
        <v>364.33958988674658</v>
      </c>
    </row>
    <row r="4004" spans="1:11" x14ac:dyDescent="0.2">
      <c r="A4004" t="s">
        <v>726</v>
      </c>
      <c r="B4004" t="s">
        <v>12466</v>
      </c>
      <c r="C4004" t="s">
        <v>12479</v>
      </c>
      <c r="D4004" t="s">
        <v>12480</v>
      </c>
      <c r="E4004" t="s">
        <v>829</v>
      </c>
      <c r="F4004" t="s">
        <v>24</v>
      </c>
      <c r="G4004" t="s">
        <v>24</v>
      </c>
      <c r="H4004">
        <f>20168*(1.01^10)</f>
        <v>22278.019025293179</v>
      </c>
      <c r="I4004">
        <f>90566*(1.01^10)</f>
        <v>100041.20740999117</v>
      </c>
      <c r="J4004" t="s">
        <v>12481</v>
      </c>
      <c r="K4004">
        <f t="shared" si="62"/>
        <v>490.60497008177174</v>
      </c>
    </row>
    <row r="4005" spans="1:11" x14ac:dyDescent="0.2">
      <c r="A4005" t="s">
        <v>77</v>
      </c>
      <c r="B4005" t="s">
        <v>12482</v>
      </c>
      <c r="C4005" t="s">
        <v>12483</v>
      </c>
      <c r="D4005" t="s">
        <v>12484</v>
      </c>
      <c r="E4005" t="s">
        <v>5</v>
      </c>
      <c r="F4005" t="s">
        <v>24</v>
      </c>
      <c r="G4005" t="s">
        <v>12</v>
      </c>
      <c r="H4005">
        <f>10580*(1.01^10)</f>
        <v>11686.902086850547</v>
      </c>
      <c r="I4005">
        <f>52074*(1.01^10)</f>
        <v>57522.092558663076</v>
      </c>
      <c r="J4005" t="s">
        <v>16</v>
      </c>
      <c r="K4005">
        <f t="shared" si="62"/>
        <v>1474.9254502221302</v>
      </c>
    </row>
    <row r="4006" spans="1:11" x14ac:dyDescent="0.2">
      <c r="A4006" t="s">
        <v>77</v>
      </c>
      <c r="B4006" t="s">
        <v>5613</v>
      </c>
      <c r="C4006" t="s">
        <v>12485</v>
      </c>
      <c r="D4006" t="s">
        <v>12486</v>
      </c>
      <c r="E4006" t="s">
        <v>274</v>
      </c>
      <c r="F4006" t="s">
        <v>24</v>
      </c>
      <c r="G4006" t="s">
        <v>6</v>
      </c>
      <c r="H4006">
        <f>50376*(1.01^10)</f>
        <v>55646.44418971485</v>
      </c>
      <c r="I4006">
        <f>191173*(1.01^10)</f>
        <v>211173.92558123625</v>
      </c>
      <c r="J4006" t="s">
        <v>777</v>
      </c>
      <c r="K4006">
        <f t="shared" si="62"/>
        <v>2932.9711886282812</v>
      </c>
    </row>
    <row r="4007" spans="1:11" x14ac:dyDescent="0.2">
      <c r="A4007" t="s">
        <v>427</v>
      </c>
      <c r="B4007" t="s">
        <v>5704</v>
      </c>
      <c r="C4007" t="s">
        <v>12487</v>
      </c>
      <c r="D4007" t="s">
        <v>12488</v>
      </c>
      <c r="E4007" t="s">
        <v>137</v>
      </c>
      <c r="F4007" t="s">
        <v>24</v>
      </c>
      <c r="G4007" t="s">
        <v>158</v>
      </c>
      <c r="H4007">
        <f>76458*(1.01^10)</f>
        <v>84457.198464689893</v>
      </c>
      <c r="I4007">
        <f>343709*(1.01^10)</f>
        <v>379668.5661029598</v>
      </c>
      <c r="J4007" t="s">
        <v>1755</v>
      </c>
      <c r="K4007">
        <f t="shared" si="62"/>
        <v>773.25573544391</v>
      </c>
    </row>
    <row r="4008" spans="1:11" x14ac:dyDescent="0.2">
      <c r="A4008" t="s">
        <v>313</v>
      </c>
      <c r="B4008" t="s">
        <v>12489</v>
      </c>
      <c r="C4008" t="s">
        <v>12490</v>
      </c>
      <c r="D4008" t="s">
        <v>12491</v>
      </c>
      <c r="E4008" t="s">
        <v>811</v>
      </c>
      <c r="F4008" t="s">
        <v>12</v>
      </c>
      <c r="G4008" t="s">
        <v>11</v>
      </c>
      <c r="H4008">
        <f>46429*(1.01^10)</f>
        <v>51286.500660716825</v>
      </c>
      <c r="I4008">
        <f>245861*(1.01^10)</f>
        <v>271583.50037572422</v>
      </c>
      <c r="J4008" t="s">
        <v>12492</v>
      </c>
      <c r="K4008">
        <f t="shared" si="62"/>
        <v>290.14711264259762</v>
      </c>
    </row>
    <row r="4009" spans="1:11" x14ac:dyDescent="0.2">
      <c r="A4009" t="s">
        <v>313</v>
      </c>
      <c r="B4009" t="s">
        <v>12489</v>
      </c>
      <c r="C4009" t="s">
        <v>12493</v>
      </c>
      <c r="D4009" t="s">
        <v>12494</v>
      </c>
      <c r="E4009" t="s">
        <v>2410</v>
      </c>
      <c r="F4009" t="s">
        <v>24</v>
      </c>
      <c r="G4009" t="s">
        <v>12</v>
      </c>
      <c r="H4009">
        <f>33007*(1.01^10)</f>
        <v>36460.262493447633</v>
      </c>
      <c r="I4009">
        <f>195754*(1.01^10)</f>
        <v>216234.19953774498</v>
      </c>
      <c r="J4009" t="s">
        <v>12495</v>
      </c>
      <c r="K4009">
        <f t="shared" si="62"/>
        <v>168.6286463786019</v>
      </c>
    </row>
    <row r="4010" spans="1:11" x14ac:dyDescent="0.2">
      <c r="A4010" t="s">
        <v>313</v>
      </c>
      <c r="B4010" t="s">
        <v>12489</v>
      </c>
      <c r="C4010" t="s">
        <v>12496</v>
      </c>
      <c r="D4010" t="s">
        <v>12497</v>
      </c>
      <c r="E4010" t="s">
        <v>287</v>
      </c>
      <c r="F4010" t="s">
        <v>12</v>
      </c>
      <c r="G4010" t="s">
        <v>12</v>
      </c>
      <c r="H4010">
        <f>31255*(1.01^10)</f>
        <v>34524.964529727207</v>
      </c>
      <c r="I4010">
        <f>159654*(1.01^10)</f>
        <v>176357.34081040049</v>
      </c>
      <c r="J4010" t="s">
        <v>12498</v>
      </c>
      <c r="K4010">
        <f t="shared" si="62"/>
        <v>387.51338345506588</v>
      </c>
    </row>
    <row r="4011" spans="1:11" x14ac:dyDescent="0.2">
      <c r="A4011" t="s">
        <v>313</v>
      </c>
      <c r="B4011" t="s">
        <v>12489</v>
      </c>
      <c r="C4011" t="s">
        <v>12499</v>
      </c>
      <c r="D4011" t="s">
        <v>12500</v>
      </c>
      <c r="E4011" t="s">
        <v>1227</v>
      </c>
      <c r="F4011" t="s">
        <v>17</v>
      </c>
      <c r="G4011" t="s">
        <v>12</v>
      </c>
      <c r="H4011">
        <f>80967*(1.01^10)</f>
        <v>89437.939628169013</v>
      </c>
      <c r="I4011">
        <f>407728*(1.01^10)</f>
        <v>450385.36994965968</v>
      </c>
      <c r="J4011" t="s">
        <v>12501</v>
      </c>
      <c r="K4011">
        <f t="shared" si="62"/>
        <v>380.61485996878224</v>
      </c>
    </row>
    <row r="4012" spans="1:11" x14ac:dyDescent="0.2">
      <c r="A4012" t="s">
        <v>313</v>
      </c>
      <c r="B4012" t="s">
        <v>12489</v>
      </c>
      <c r="C4012" t="s">
        <v>12502</v>
      </c>
      <c r="D4012" t="s">
        <v>12503</v>
      </c>
      <c r="E4012" t="s">
        <v>328</v>
      </c>
      <c r="F4012" t="s">
        <v>5</v>
      </c>
      <c r="G4012" t="s">
        <v>12</v>
      </c>
      <c r="H4012">
        <f>72434*(1.01^10)</f>
        <v>80012.199032035205</v>
      </c>
      <c r="I4012">
        <f>367446*(1.01^10)</f>
        <v>405888.98149384552</v>
      </c>
      <c r="J4012" t="s">
        <v>12504</v>
      </c>
      <c r="K4012">
        <f t="shared" si="62"/>
        <v>385.26570813725812</v>
      </c>
    </row>
    <row r="4013" spans="1:11" x14ac:dyDescent="0.2">
      <c r="A4013" t="s">
        <v>313</v>
      </c>
      <c r="B4013" t="s">
        <v>12489</v>
      </c>
      <c r="C4013" t="s">
        <v>12505</v>
      </c>
      <c r="D4013" t="s">
        <v>12506</v>
      </c>
      <c r="E4013" t="s">
        <v>540</v>
      </c>
      <c r="F4013" t="s">
        <v>92</v>
      </c>
      <c r="G4013" t="s">
        <v>17</v>
      </c>
      <c r="H4013">
        <f>59429*(1.01^10)</f>
        <v>65646.588291062493</v>
      </c>
      <c r="I4013">
        <f>271852*(1.01^10)</f>
        <v>300293.73403728683</v>
      </c>
      <c r="J4013" t="s">
        <v>12507</v>
      </c>
      <c r="K4013">
        <f t="shared" si="62"/>
        <v>287.43669085532798</v>
      </c>
    </row>
    <row r="4014" spans="1:11" x14ac:dyDescent="0.2">
      <c r="A4014" t="s">
        <v>313</v>
      </c>
      <c r="B4014" t="s">
        <v>1004</v>
      </c>
      <c r="C4014" t="s">
        <v>12508</v>
      </c>
      <c r="D4014" t="s">
        <v>12509</v>
      </c>
      <c r="E4014" t="s">
        <v>1352</v>
      </c>
      <c r="F4014" t="s">
        <v>17</v>
      </c>
      <c r="G4014" t="s">
        <v>12</v>
      </c>
      <c r="H4014">
        <f>81475*(1.01^10)</f>
        <v>89999.087667877902</v>
      </c>
      <c r="I4014">
        <f>422137*(1.01^10)</f>
        <v>466301.87015470973</v>
      </c>
      <c r="J4014" t="s">
        <v>12510</v>
      </c>
      <c r="K4014">
        <f t="shared" si="62"/>
        <v>308.67222500924072</v>
      </c>
    </row>
    <row r="4015" spans="1:11" x14ac:dyDescent="0.2">
      <c r="A4015" t="s">
        <v>313</v>
      </c>
      <c r="B4015" t="s">
        <v>1004</v>
      </c>
      <c r="C4015" t="s">
        <v>12511</v>
      </c>
      <c r="D4015" t="s">
        <v>12512</v>
      </c>
      <c r="E4015" t="s">
        <v>784</v>
      </c>
      <c r="F4015" t="s">
        <v>24</v>
      </c>
      <c r="G4015" t="s">
        <v>12</v>
      </c>
      <c r="H4015">
        <f>66504*(1.01^10)</f>
        <v>73461.789828346766</v>
      </c>
      <c r="I4015">
        <f>323157*(1.01^10)</f>
        <v>356966.37218150869</v>
      </c>
      <c r="J4015" t="s">
        <v>12513</v>
      </c>
      <c r="K4015">
        <f t="shared" si="62"/>
        <v>274.02881195515994</v>
      </c>
    </row>
    <row r="4016" spans="1:11" x14ac:dyDescent="0.2">
      <c r="A4016" t="s">
        <v>313</v>
      </c>
      <c r="B4016" t="s">
        <v>1004</v>
      </c>
      <c r="C4016" t="s">
        <v>12514</v>
      </c>
      <c r="D4016" t="s">
        <v>12515</v>
      </c>
      <c r="E4016" t="s">
        <v>933</v>
      </c>
      <c r="F4016" t="s">
        <v>24</v>
      </c>
      <c r="G4016" t="s">
        <v>17</v>
      </c>
      <c r="H4016">
        <f>94950*(1.01^10)</f>
        <v>104883.87080779389</v>
      </c>
      <c r="I4016">
        <f>464913*(1.01^10)</f>
        <v>513553.18619129941</v>
      </c>
      <c r="J4016" t="s">
        <v>12516</v>
      </c>
      <c r="K4016">
        <f t="shared" si="62"/>
        <v>213.10498792099929</v>
      </c>
    </row>
    <row r="4017" spans="1:11" x14ac:dyDescent="0.2">
      <c r="A4017" t="s">
        <v>313</v>
      </c>
      <c r="B4017" t="s">
        <v>1004</v>
      </c>
      <c r="C4017" t="s">
        <v>12517</v>
      </c>
      <c r="D4017" t="s">
        <v>12518</v>
      </c>
      <c r="E4017" t="s">
        <v>151</v>
      </c>
      <c r="F4017" t="s">
        <v>17</v>
      </c>
      <c r="G4017" t="s">
        <v>5</v>
      </c>
      <c r="H4017">
        <f>165945*(1.01^10)</f>
        <v>183306.51860136236</v>
      </c>
      <c r="I4017">
        <f>840655*(1.01^10)</f>
        <v>928606.11283755628</v>
      </c>
      <c r="J4017" t="s">
        <v>12519</v>
      </c>
      <c r="K4017">
        <f t="shared" si="62"/>
        <v>470.94096938222054</v>
      </c>
    </row>
    <row r="4018" spans="1:11" x14ac:dyDescent="0.2">
      <c r="A4018" t="s">
        <v>313</v>
      </c>
      <c r="B4018" t="s">
        <v>99</v>
      </c>
      <c r="C4018" t="s">
        <v>12520</v>
      </c>
      <c r="D4018" t="s">
        <v>12521</v>
      </c>
      <c r="E4018" t="s">
        <v>436</v>
      </c>
      <c r="F4018" t="s">
        <v>6</v>
      </c>
      <c r="G4018" t="s">
        <v>12</v>
      </c>
      <c r="H4018">
        <f>64934*(1.01^10)</f>
        <v>71727.533091451172</v>
      </c>
      <c r="I4018">
        <f>312815*(1.01^10)</f>
        <v>345542.37016050599</v>
      </c>
      <c r="J4018" t="s">
        <v>12522</v>
      </c>
      <c r="K4018">
        <f t="shared" si="62"/>
        <v>299.37824481069657</v>
      </c>
    </row>
    <row r="4019" spans="1:11" x14ac:dyDescent="0.2">
      <c r="A4019" t="s">
        <v>313</v>
      </c>
      <c r="B4019" t="s">
        <v>99</v>
      </c>
      <c r="C4019" t="s">
        <v>12523</v>
      </c>
      <c r="D4019" t="s">
        <v>12524</v>
      </c>
      <c r="E4019" t="s">
        <v>1387</v>
      </c>
      <c r="F4019" t="s">
        <v>17</v>
      </c>
      <c r="G4019" t="s">
        <v>17</v>
      </c>
      <c r="H4019">
        <f>60781*(1.01^10)</f>
        <v>67140.03740461843</v>
      </c>
      <c r="I4019">
        <f>272242*(1.01^10)</f>
        <v>300724.53666619718</v>
      </c>
      <c r="J4019" t="s">
        <v>5014</v>
      </c>
      <c r="K4019">
        <f t="shared" si="62"/>
        <v>316.55214385915491</v>
      </c>
    </row>
    <row r="4020" spans="1:11" x14ac:dyDescent="0.2">
      <c r="A4020" t="s">
        <v>313</v>
      </c>
      <c r="B4020" t="s">
        <v>99</v>
      </c>
      <c r="C4020" t="s">
        <v>12525</v>
      </c>
      <c r="D4020" t="s">
        <v>12526</v>
      </c>
      <c r="E4020" t="s">
        <v>315</v>
      </c>
      <c r="F4020" t="s">
        <v>12</v>
      </c>
      <c r="G4020" t="s">
        <v>17</v>
      </c>
      <c r="H4020">
        <f>68623*(1.01^10)</f>
        <v>75802.484112093109</v>
      </c>
      <c r="I4020">
        <f>312082*(1.01^10)</f>
        <v>344732.68214257958</v>
      </c>
      <c r="J4020" t="s">
        <v>12527</v>
      </c>
      <c r="K4020">
        <f t="shared" si="62"/>
        <v>378.67731682255322</v>
      </c>
    </row>
    <row r="4021" spans="1:11" x14ac:dyDescent="0.2">
      <c r="A4021" t="s">
        <v>313</v>
      </c>
      <c r="B4021" t="s">
        <v>99</v>
      </c>
      <c r="C4021" t="s">
        <v>12528</v>
      </c>
      <c r="D4021" t="s">
        <v>12529</v>
      </c>
      <c r="E4021" t="s">
        <v>410</v>
      </c>
      <c r="F4021" t="s">
        <v>92</v>
      </c>
      <c r="G4021" t="s">
        <v>24</v>
      </c>
      <c r="H4021">
        <f>36842*(1.01^10)</f>
        <v>40696.488344399608</v>
      </c>
      <c r="I4021">
        <f>163444*(1.01^10)</f>
        <v>180543.85866570895</v>
      </c>
      <c r="J4021" t="s">
        <v>12530</v>
      </c>
      <c r="K4021">
        <f t="shared" si="62"/>
        <v>282.39099487863882</v>
      </c>
    </row>
    <row r="4022" spans="1:11" x14ac:dyDescent="0.2">
      <c r="A4022" t="s">
        <v>313</v>
      </c>
      <c r="B4022" t="s">
        <v>99</v>
      </c>
      <c r="C4022" t="s">
        <v>12531</v>
      </c>
      <c r="D4022" t="s">
        <v>12532</v>
      </c>
      <c r="E4022" t="s">
        <v>91</v>
      </c>
      <c r="F4022" t="s">
        <v>17</v>
      </c>
      <c r="G4022" t="s">
        <v>24</v>
      </c>
      <c r="H4022">
        <f>20697*(1.01^10)</f>
        <v>22862.364129635705</v>
      </c>
      <c r="I4022">
        <f>91799*(1.01^10)</f>
        <v>101403.20649062318</v>
      </c>
      <c r="J4022" t="s">
        <v>12533</v>
      </c>
      <c r="K4022">
        <f t="shared" si="62"/>
        <v>272.36229617959009</v>
      </c>
    </row>
    <row r="4023" spans="1:11" x14ac:dyDescent="0.2">
      <c r="A4023" t="s">
        <v>313</v>
      </c>
      <c r="B4023" t="s">
        <v>99</v>
      </c>
      <c r="C4023" t="s">
        <v>12534</v>
      </c>
      <c r="D4023" t="s">
        <v>12535</v>
      </c>
      <c r="E4023" t="s">
        <v>180</v>
      </c>
      <c r="F4023" t="s">
        <v>24</v>
      </c>
      <c r="G4023" t="s">
        <v>5</v>
      </c>
      <c r="H4023">
        <f>77407*(1.01^10)</f>
        <v>85505.484861705132</v>
      </c>
      <c r="I4023">
        <f>359461*(1.01^10)</f>
        <v>397068.57382243709</v>
      </c>
      <c r="J4023" t="s">
        <v>12536</v>
      </c>
      <c r="K4023">
        <f t="shared" si="62"/>
        <v>875.69982979167037</v>
      </c>
    </row>
    <row r="4024" spans="1:11" x14ac:dyDescent="0.2">
      <c r="A4024" t="s">
        <v>313</v>
      </c>
      <c r="B4024" t="s">
        <v>99</v>
      </c>
      <c r="C4024" t="s">
        <v>12537</v>
      </c>
      <c r="D4024" t="s">
        <v>12538</v>
      </c>
      <c r="E4024" t="s">
        <v>484</v>
      </c>
      <c r="F4024" t="s">
        <v>12</v>
      </c>
      <c r="G4024" t="s">
        <v>12</v>
      </c>
      <c r="H4024">
        <f>146342*(1.01^10)</f>
        <v>161652.61107692652</v>
      </c>
      <c r="I4024">
        <f>676041*(1.01^10)</f>
        <v>746769.84628511628</v>
      </c>
      <c r="J4024" t="s">
        <v>12539</v>
      </c>
      <c r="K4024">
        <f t="shared" si="62"/>
        <v>908.23605152528069</v>
      </c>
    </row>
    <row r="4025" spans="1:11" x14ac:dyDescent="0.2">
      <c r="A4025" t="s">
        <v>313</v>
      </c>
      <c r="B4025" t="s">
        <v>99</v>
      </c>
      <c r="C4025" t="s">
        <v>12540</v>
      </c>
      <c r="D4025" t="s">
        <v>12541</v>
      </c>
      <c r="E4025" t="s">
        <v>67</v>
      </c>
      <c r="F4025" t="s">
        <v>12</v>
      </c>
      <c r="G4025" t="s">
        <v>12</v>
      </c>
      <c r="H4025">
        <f>35227*(1.01^10)</f>
        <v>38912.52361186051</v>
      </c>
      <c r="I4025">
        <f>166521*(1.01^10)</f>
        <v>183942.78094559922</v>
      </c>
      <c r="J4025" t="s">
        <v>12542</v>
      </c>
      <c r="K4025">
        <f t="shared" si="62"/>
        <v>358.36034394903317</v>
      </c>
    </row>
    <row r="4026" spans="1:11" x14ac:dyDescent="0.2">
      <c r="A4026" t="s">
        <v>313</v>
      </c>
      <c r="B4026" t="s">
        <v>99</v>
      </c>
      <c r="C4026" t="s">
        <v>12543</v>
      </c>
      <c r="D4026" t="s">
        <v>12544</v>
      </c>
      <c r="E4026" t="s">
        <v>337</v>
      </c>
      <c r="F4026" t="s">
        <v>12</v>
      </c>
      <c r="G4026" t="s">
        <v>12</v>
      </c>
      <c r="H4026">
        <f>36845*(1.01^10)</f>
        <v>40699.802210775837</v>
      </c>
      <c r="I4026">
        <f>173447*(1.01^10)</f>
        <v>191593.39378619724</v>
      </c>
      <c r="J4026" t="s">
        <v>12545</v>
      </c>
      <c r="K4026">
        <f t="shared" si="62"/>
        <v>381.67535317382612</v>
      </c>
    </row>
    <row r="4027" spans="1:11" x14ac:dyDescent="0.2">
      <c r="A4027" t="s">
        <v>313</v>
      </c>
      <c r="B4027" t="s">
        <v>99</v>
      </c>
      <c r="C4027" t="s">
        <v>12546</v>
      </c>
      <c r="D4027" t="s">
        <v>12547</v>
      </c>
      <c r="E4027" t="s">
        <v>1140</v>
      </c>
      <c r="F4027" t="s">
        <v>12</v>
      </c>
      <c r="G4027" t="s">
        <v>12</v>
      </c>
      <c r="H4027">
        <f>60739*(1.01^10)</f>
        <v>67093.643275351162</v>
      </c>
      <c r="I4027">
        <f>287849*(1.01^10)</f>
        <v>317964.3741774899</v>
      </c>
      <c r="J4027" t="s">
        <v>12548</v>
      </c>
      <c r="K4027">
        <f t="shared" si="62"/>
        <v>397.98777637276095</v>
      </c>
    </row>
    <row r="4028" spans="1:11" x14ac:dyDescent="0.2">
      <c r="A4028" t="s">
        <v>313</v>
      </c>
      <c r="B4028" t="s">
        <v>99</v>
      </c>
      <c r="C4028" t="s">
        <v>12549</v>
      </c>
      <c r="D4028" t="s">
        <v>12550</v>
      </c>
      <c r="E4028" t="s">
        <v>1215</v>
      </c>
      <c r="F4028" t="s">
        <v>17</v>
      </c>
      <c r="G4028" t="s">
        <v>12</v>
      </c>
      <c r="H4028">
        <f>40157*(1.01^10)</f>
        <v>44358.310690137747</v>
      </c>
      <c r="I4028">
        <f>196863*(1.01^10)</f>
        <v>217459.225474826</v>
      </c>
      <c r="J4028" t="s">
        <v>12551</v>
      </c>
      <c r="K4028">
        <f t="shared" si="62"/>
        <v>277.2936490714672</v>
      </c>
    </row>
    <row r="4029" spans="1:11" x14ac:dyDescent="0.2">
      <c r="A4029" t="s">
        <v>313</v>
      </c>
      <c r="B4029" t="s">
        <v>99</v>
      </c>
      <c r="C4029" t="s">
        <v>12552</v>
      </c>
      <c r="D4029" t="s">
        <v>12553</v>
      </c>
      <c r="E4029" t="s">
        <v>612</v>
      </c>
      <c r="F4029" t="s">
        <v>24</v>
      </c>
      <c r="G4029" t="s">
        <v>12</v>
      </c>
      <c r="H4029">
        <f>34945*(1.01^10)</f>
        <v>38601.020172494551</v>
      </c>
      <c r="I4029">
        <f>162889*(1.01^10)</f>
        <v>179930.79338610574</v>
      </c>
      <c r="J4029" t="s">
        <v>12554</v>
      </c>
      <c r="K4029">
        <f t="shared" si="62"/>
        <v>366.20424428319643</v>
      </c>
    </row>
    <row r="4030" spans="1:11" x14ac:dyDescent="0.2">
      <c r="A4030" t="s">
        <v>313</v>
      </c>
      <c r="B4030" t="s">
        <v>99</v>
      </c>
      <c r="C4030" t="s">
        <v>12555</v>
      </c>
      <c r="D4030" t="s">
        <v>12556</v>
      </c>
      <c r="E4030" t="s">
        <v>703</v>
      </c>
      <c r="F4030" t="s">
        <v>24</v>
      </c>
      <c r="G4030" t="s">
        <v>17</v>
      </c>
      <c r="H4030">
        <f>86332*(1.01^10)</f>
        <v>95364.237331000128</v>
      </c>
      <c r="I4030">
        <f>414879*(1.01^10)</f>
        <v>458284.52276847523</v>
      </c>
      <c r="J4030" t="s">
        <v>12557</v>
      </c>
      <c r="K4030">
        <f t="shared" si="62"/>
        <v>378.45978493085852</v>
      </c>
    </row>
    <row r="4031" spans="1:11" x14ac:dyDescent="0.2">
      <c r="A4031" t="s">
        <v>313</v>
      </c>
      <c r="B4031" t="s">
        <v>99</v>
      </c>
      <c r="C4031" t="s">
        <v>12558</v>
      </c>
      <c r="D4031" t="s">
        <v>12559</v>
      </c>
      <c r="E4031" t="s">
        <v>282</v>
      </c>
      <c r="F4031" t="s">
        <v>12</v>
      </c>
      <c r="G4031" t="s">
        <v>17</v>
      </c>
      <c r="H4031">
        <f>61747*(1.01^10)</f>
        <v>68207.102377765666</v>
      </c>
      <c r="I4031">
        <f>289628*(1.01^10)</f>
        <v>319929.49693859642</v>
      </c>
      <c r="J4031" t="s">
        <v>12560</v>
      </c>
      <c r="K4031">
        <f t="shared" si="62"/>
        <v>393.62373205368789</v>
      </c>
    </row>
    <row r="4032" spans="1:11" x14ac:dyDescent="0.2">
      <c r="A4032" t="s">
        <v>313</v>
      </c>
      <c r="B4032" t="s">
        <v>99</v>
      </c>
      <c r="C4032" t="s">
        <v>12561</v>
      </c>
      <c r="D4032" t="s">
        <v>12562</v>
      </c>
      <c r="E4032" t="s">
        <v>467</v>
      </c>
      <c r="F4032" t="s">
        <v>17</v>
      </c>
      <c r="G4032" t="s">
        <v>12</v>
      </c>
      <c r="H4032">
        <f>72025*(1.01^10)</f>
        <v>79560.40858274202</v>
      </c>
      <c r="I4032">
        <f>349957*(1.01^10)</f>
        <v>386570.24514252896</v>
      </c>
      <c r="J4032" t="s">
        <v>12563</v>
      </c>
      <c r="K4032">
        <f t="shared" si="62"/>
        <v>286.41622098758887</v>
      </c>
    </row>
    <row r="4033" spans="1:11" x14ac:dyDescent="0.2">
      <c r="A4033" t="s">
        <v>313</v>
      </c>
      <c r="B4033" t="s">
        <v>1085</v>
      </c>
      <c r="C4033" t="s">
        <v>12564</v>
      </c>
      <c r="D4033" t="s">
        <v>12565</v>
      </c>
      <c r="E4033" t="s">
        <v>1303</v>
      </c>
      <c r="F4033" t="s">
        <v>318</v>
      </c>
      <c r="G4033" t="s">
        <v>12</v>
      </c>
      <c r="H4033">
        <f>33861*(1.01^10)</f>
        <v>37403.609788548805</v>
      </c>
      <c r="I4033">
        <f>156623*(1.01^10)</f>
        <v>173009.23114827913</v>
      </c>
      <c r="J4033" t="s">
        <v>12566</v>
      </c>
      <c r="K4033">
        <f t="shared" si="62"/>
        <v>288.0798440593436</v>
      </c>
    </row>
    <row r="4034" spans="1:11" x14ac:dyDescent="0.2">
      <c r="A4034" t="s">
        <v>313</v>
      </c>
      <c r="B4034" t="s">
        <v>1085</v>
      </c>
      <c r="C4034" t="s">
        <v>12567</v>
      </c>
      <c r="D4034" t="s">
        <v>3804</v>
      </c>
      <c r="E4034" t="s">
        <v>36</v>
      </c>
      <c r="F4034" t="s">
        <v>313</v>
      </c>
      <c r="G4034" t="s">
        <v>24</v>
      </c>
      <c r="H4034">
        <f>30590*(1.01^10)</f>
        <v>33790.390816328756</v>
      </c>
      <c r="I4034">
        <f>137092*(1.01^10)</f>
        <v>151434.85641687288</v>
      </c>
      <c r="J4034" t="s">
        <v>12568</v>
      </c>
      <c r="K4034">
        <f t="shared" si="62"/>
        <v>240.93113631093149</v>
      </c>
    </row>
    <row r="4035" spans="1:11" x14ac:dyDescent="0.2">
      <c r="A4035" t="s">
        <v>313</v>
      </c>
      <c r="B4035" t="s">
        <v>1085</v>
      </c>
      <c r="C4035" t="s">
        <v>12569</v>
      </c>
      <c r="D4035" t="s">
        <v>12570</v>
      </c>
      <c r="E4035" t="s">
        <v>998</v>
      </c>
      <c r="F4035" t="s">
        <v>158</v>
      </c>
      <c r="G4035" t="s">
        <v>12</v>
      </c>
      <c r="H4035">
        <f>33751*(1.01^10)</f>
        <v>37282.101354753569</v>
      </c>
      <c r="I4035">
        <f>156116*(1.01^10)</f>
        <v>172449.18773069564</v>
      </c>
      <c r="J4035" t="s">
        <v>12571</v>
      </c>
      <c r="K4035">
        <f t="shared" ref="K4035:K4098" si="63">I4035/J4035</f>
        <v>328.67497852156737</v>
      </c>
    </row>
    <row r="4036" spans="1:11" x14ac:dyDescent="0.2">
      <c r="A4036" t="s">
        <v>313</v>
      </c>
      <c r="B4036" t="s">
        <v>1085</v>
      </c>
      <c r="C4036" t="s">
        <v>12572</v>
      </c>
      <c r="D4036" t="s">
        <v>12573</v>
      </c>
      <c r="E4036" t="s">
        <v>28</v>
      </c>
      <c r="F4036" t="s">
        <v>744</v>
      </c>
      <c r="G4036" t="s">
        <v>12</v>
      </c>
      <c r="H4036">
        <f>39058*(1.01^10)</f>
        <v>43144.330974310833</v>
      </c>
      <c r="I4036">
        <f>176018*(1.01^10)</f>
        <v>194433.37727062943</v>
      </c>
      <c r="J4036" t="s">
        <v>12574</v>
      </c>
      <c r="K4036">
        <f t="shared" si="63"/>
        <v>363.52200065555365</v>
      </c>
    </row>
    <row r="4037" spans="1:11" x14ac:dyDescent="0.2">
      <c r="A4037" t="s">
        <v>313</v>
      </c>
      <c r="B4037" t="s">
        <v>1085</v>
      </c>
      <c r="C4037" t="s">
        <v>12575</v>
      </c>
      <c r="D4037" t="s">
        <v>12576</v>
      </c>
      <c r="E4037" t="s">
        <v>232</v>
      </c>
      <c r="F4037" t="s">
        <v>6</v>
      </c>
      <c r="G4037" t="s">
        <v>12</v>
      </c>
      <c r="H4037">
        <f>38487*(1.01^10)</f>
        <v>42513.591740701035</v>
      </c>
      <c r="I4037">
        <f>178534*(1.01^10)</f>
        <v>197212.60653816402</v>
      </c>
      <c r="J4037" t="s">
        <v>105</v>
      </c>
      <c r="K4037">
        <f t="shared" si="63"/>
        <v>432.48378626790355</v>
      </c>
    </row>
    <row r="4038" spans="1:11" x14ac:dyDescent="0.2">
      <c r="A4038" t="s">
        <v>313</v>
      </c>
      <c r="B4038" t="s">
        <v>1085</v>
      </c>
      <c r="C4038" t="s">
        <v>12577</v>
      </c>
      <c r="D4038" t="s">
        <v>12578</v>
      </c>
      <c r="E4038" t="s">
        <v>626</v>
      </c>
      <c r="F4038" t="s">
        <v>318</v>
      </c>
      <c r="G4038" t="s">
        <v>24</v>
      </c>
      <c r="H4038">
        <f>36334*(1.01^10)</f>
        <v>40135.340304690711</v>
      </c>
      <c r="I4038">
        <f>166598*(1.01^10)</f>
        <v>184027.83684925589</v>
      </c>
      <c r="J4038" t="s">
        <v>12579</v>
      </c>
      <c r="K4038">
        <f t="shared" si="63"/>
        <v>237.72520649157224</v>
      </c>
    </row>
    <row r="4039" spans="1:11" x14ac:dyDescent="0.2">
      <c r="A4039" t="s">
        <v>313</v>
      </c>
      <c r="B4039" t="s">
        <v>1085</v>
      </c>
      <c r="C4039" t="s">
        <v>12580</v>
      </c>
      <c r="D4039" t="s">
        <v>12581</v>
      </c>
      <c r="E4039" t="s">
        <v>1049</v>
      </c>
      <c r="F4039" t="s">
        <v>318</v>
      </c>
      <c r="G4039" t="s">
        <v>12</v>
      </c>
      <c r="H4039">
        <f>70208*(1.01^10)</f>
        <v>77553.310180869856</v>
      </c>
      <c r="I4039">
        <f>320644*(1.01^10)</f>
        <v>354190.45678035036</v>
      </c>
      <c r="J4039" t="s">
        <v>12582</v>
      </c>
      <c r="K4039">
        <f t="shared" si="63"/>
        <v>292.2676993244765</v>
      </c>
    </row>
    <row r="4040" spans="1:11" x14ac:dyDescent="0.2">
      <c r="A4040" t="s">
        <v>313</v>
      </c>
      <c r="B4040" t="s">
        <v>1085</v>
      </c>
      <c r="C4040" t="s">
        <v>12583</v>
      </c>
      <c r="D4040" t="s">
        <v>12584</v>
      </c>
      <c r="E4040" t="s">
        <v>679</v>
      </c>
      <c r="F4040" t="s">
        <v>1340</v>
      </c>
      <c r="G4040" t="s">
        <v>12</v>
      </c>
      <c r="H4040">
        <f>58474*(1.01^10)</f>
        <v>64591.674161294788</v>
      </c>
      <c r="I4040">
        <f>268316*(1.01^10)</f>
        <v>296387.79020183283</v>
      </c>
      <c r="J4040" t="s">
        <v>12585</v>
      </c>
      <c r="K4040">
        <f t="shared" si="63"/>
        <v>267.4762791847553</v>
      </c>
    </row>
    <row r="4041" spans="1:11" x14ac:dyDescent="0.2">
      <c r="A4041" t="s">
        <v>313</v>
      </c>
      <c r="B4041" t="s">
        <v>1085</v>
      </c>
      <c r="C4041" t="s">
        <v>12586</v>
      </c>
      <c r="D4041" t="s">
        <v>12418</v>
      </c>
      <c r="E4041" t="s">
        <v>58</v>
      </c>
      <c r="F4041" t="s">
        <v>108</v>
      </c>
      <c r="G4041" t="s">
        <v>12</v>
      </c>
      <c r="H4041">
        <f>62739*(1.01^10)</f>
        <v>69302.887526173581</v>
      </c>
      <c r="I4041">
        <f>285321*(1.01^10)</f>
        <v>315171.88944445032</v>
      </c>
      <c r="J4041" t="s">
        <v>866</v>
      </c>
      <c r="K4041">
        <f t="shared" si="63"/>
        <v>283.17330588000925</v>
      </c>
    </row>
    <row r="4042" spans="1:11" x14ac:dyDescent="0.2">
      <c r="A4042" t="s">
        <v>313</v>
      </c>
      <c r="B4042" t="s">
        <v>1085</v>
      </c>
      <c r="C4042" t="s">
        <v>12587</v>
      </c>
      <c r="D4042" t="s">
        <v>12588</v>
      </c>
      <c r="E4042" t="s">
        <v>32</v>
      </c>
      <c r="F4042" t="s">
        <v>12</v>
      </c>
      <c r="G4042" t="s">
        <v>17</v>
      </c>
      <c r="H4042">
        <f>60847*(1.01^10)</f>
        <v>67212.942464895576</v>
      </c>
      <c r="I4042">
        <f>286992*(1.01^10)</f>
        <v>317017.71301601245</v>
      </c>
      <c r="J4042" t="s">
        <v>12589</v>
      </c>
      <c r="K4042">
        <f t="shared" si="63"/>
        <v>397.89855159967925</v>
      </c>
    </row>
    <row r="4043" spans="1:11" x14ac:dyDescent="0.2">
      <c r="A4043" t="s">
        <v>313</v>
      </c>
      <c r="B4043" t="s">
        <v>1085</v>
      </c>
      <c r="C4043" t="s">
        <v>12590</v>
      </c>
      <c r="D4043" t="s">
        <v>12591</v>
      </c>
      <c r="E4043" t="s">
        <v>51</v>
      </c>
      <c r="F4043" t="s">
        <v>5</v>
      </c>
      <c r="G4043" t="s">
        <v>12</v>
      </c>
      <c r="H4043">
        <f>26029*(1.01^10)</f>
        <v>28752.209302328247</v>
      </c>
      <c r="I4043">
        <f>125350*(1.01^10)</f>
        <v>138464.38342029453</v>
      </c>
      <c r="J4043" t="s">
        <v>12592</v>
      </c>
      <c r="K4043">
        <f t="shared" si="63"/>
        <v>290.86100918032668</v>
      </c>
    </row>
    <row r="4044" spans="1:11" x14ac:dyDescent="0.2">
      <c r="A4044" t="s">
        <v>313</v>
      </c>
      <c r="B4044" t="s">
        <v>1085</v>
      </c>
      <c r="C4044" t="s">
        <v>12593</v>
      </c>
      <c r="D4044" t="s">
        <v>12594</v>
      </c>
      <c r="E4044" t="s">
        <v>40</v>
      </c>
      <c r="F4044" t="s">
        <v>744</v>
      </c>
      <c r="G4044" t="s">
        <v>12</v>
      </c>
      <c r="H4044">
        <f>38045*(1.01^10)</f>
        <v>42025.348761269284</v>
      </c>
      <c r="I4044">
        <f>176303*(1.01^10)</f>
        <v>194748.19457637164</v>
      </c>
      <c r="J4044" t="s">
        <v>12595</v>
      </c>
      <c r="K4044">
        <f t="shared" si="63"/>
        <v>251.97401257148059</v>
      </c>
    </row>
    <row r="4045" spans="1:11" x14ac:dyDescent="0.2">
      <c r="A4045" t="s">
        <v>313</v>
      </c>
      <c r="B4045" t="s">
        <v>1085</v>
      </c>
      <c r="C4045" t="s">
        <v>12596</v>
      </c>
      <c r="D4045" t="s">
        <v>12597</v>
      </c>
      <c r="E4045" t="s">
        <v>1101</v>
      </c>
      <c r="F4045" t="s">
        <v>6</v>
      </c>
      <c r="G4045" t="s">
        <v>12</v>
      </c>
      <c r="H4045">
        <f>33081*(1.01^10)</f>
        <v>36542.004530728067</v>
      </c>
      <c r="I4045">
        <f>152351*(1.01^10)</f>
        <v>168290.28542852245</v>
      </c>
      <c r="J4045" t="s">
        <v>12598</v>
      </c>
      <c r="K4045">
        <f t="shared" si="63"/>
        <v>253.59817577872914</v>
      </c>
    </row>
    <row r="4046" spans="1:11" x14ac:dyDescent="0.2">
      <c r="A4046" t="s">
        <v>313</v>
      </c>
      <c r="B4046" t="s">
        <v>957</v>
      </c>
      <c r="C4046" t="s">
        <v>12599</v>
      </c>
      <c r="D4046" t="s">
        <v>12600</v>
      </c>
      <c r="E4046" t="s">
        <v>172</v>
      </c>
      <c r="F4046" t="s">
        <v>6</v>
      </c>
      <c r="G4046" t="s">
        <v>12</v>
      </c>
      <c r="H4046">
        <f>37826*(1.01^10)</f>
        <v>41783.436515804227</v>
      </c>
      <c r="I4046">
        <f>172359*(1.01^10)</f>
        <v>190391.56491374984</v>
      </c>
      <c r="J4046" t="s">
        <v>12601</v>
      </c>
      <c r="K4046">
        <f t="shared" si="63"/>
        <v>312.2811391447155</v>
      </c>
    </row>
    <row r="4047" spans="1:11" x14ac:dyDescent="0.2">
      <c r="A4047" t="s">
        <v>313</v>
      </c>
      <c r="B4047" t="s">
        <v>957</v>
      </c>
      <c r="C4047" t="s">
        <v>12602</v>
      </c>
      <c r="D4047" t="s">
        <v>12603</v>
      </c>
      <c r="E4047" t="s">
        <v>1446</v>
      </c>
      <c r="F4047" t="s">
        <v>103</v>
      </c>
      <c r="G4047" t="s">
        <v>12</v>
      </c>
      <c r="H4047">
        <f>55612*(1.01^10)</f>
        <v>61430.245638367916</v>
      </c>
      <c r="I4047">
        <f>255540*(1.01^10)</f>
        <v>282275.13792757929</v>
      </c>
      <c r="J4047" t="s">
        <v>12604</v>
      </c>
      <c r="K4047">
        <f t="shared" si="63"/>
        <v>332.06105135762851</v>
      </c>
    </row>
    <row r="4048" spans="1:11" x14ac:dyDescent="0.2">
      <c r="A4048" t="s">
        <v>313</v>
      </c>
      <c r="B4048" t="s">
        <v>957</v>
      </c>
      <c r="C4048" t="s">
        <v>12605</v>
      </c>
      <c r="D4048" t="s">
        <v>12606</v>
      </c>
      <c r="E4048" t="s">
        <v>337</v>
      </c>
      <c r="F4048" t="s">
        <v>405</v>
      </c>
      <c r="G4048" t="s">
        <v>12</v>
      </c>
      <c r="H4048">
        <f>41112*(1.01^10)</f>
        <v>45413.224819905452</v>
      </c>
      <c r="I4048">
        <f>189412*(1.01^10)</f>
        <v>209228.68601838712</v>
      </c>
      <c r="J4048" t="s">
        <v>12607</v>
      </c>
      <c r="K4048">
        <f t="shared" si="63"/>
        <v>298.0338247915148</v>
      </c>
    </row>
    <row r="4049" spans="1:11" x14ac:dyDescent="0.2">
      <c r="A4049" t="s">
        <v>313</v>
      </c>
      <c r="B4049" t="s">
        <v>957</v>
      </c>
      <c r="C4049" t="s">
        <v>12608</v>
      </c>
      <c r="D4049" t="s">
        <v>12609</v>
      </c>
      <c r="E4049" t="s">
        <v>705</v>
      </c>
      <c r="F4049" t="s">
        <v>44</v>
      </c>
      <c r="G4049" t="s">
        <v>6</v>
      </c>
      <c r="H4049">
        <f>155360*(1.01^10)</f>
        <v>171614.09340388476</v>
      </c>
      <c r="I4049">
        <f>733852*(1.01^10)</f>
        <v>810629.15597726346</v>
      </c>
      <c r="J4049" t="s">
        <v>12610</v>
      </c>
      <c r="K4049">
        <f t="shared" si="63"/>
        <v>710.71661433416637</v>
      </c>
    </row>
    <row r="4050" spans="1:11" x14ac:dyDescent="0.2">
      <c r="A4050" t="s">
        <v>313</v>
      </c>
      <c r="B4050" t="s">
        <v>957</v>
      </c>
      <c r="C4050" t="s">
        <v>12611</v>
      </c>
      <c r="D4050" t="s">
        <v>12612</v>
      </c>
      <c r="E4050" t="s">
        <v>1446</v>
      </c>
      <c r="F4050" t="s">
        <v>274</v>
      </c>
      <c r="G4050" t="s">
        <v>12</v>
      </c>
      <c r="H4050">
        <f>40113*(1.01^10)</f>
        <v>44309.707316619657</v>
      </c>
      <c r="I4050">
        <f>174650*(1.01^10)</f>
        <v>192922.2542030669</v>
      </c>
      <c r="J4050" t="s">
        <v>12613</v>
      </c>
      <c r="K4050">
        <f t="shared" si="63"/>
        <v>235.15919770239387</v>
      </c>
    </row>
    <row r="4051" spans="1:11" x14ac:dyDescent="0.2">
      <c r="A4051" t="s">
        <v>313</v>
      </c>
      <c r="B4051" t="s">
        <v>957</v>
      </c>
      <c r="C4051" t="s">
        <v>12614</v>
      </c>
      <c r="D4051" t="s">
        <v>12615</v>
      </c>
      <c r="E4051" t="s">
        <v>484</v>
      </c>
      <c r="F4051" t="s">
        <v>744</v>
      </c>
      <c r="G4051" t="s">
        <v>12</v>
      </c>
      <c r="H4051">
        <f>31060*(1.01^10)</f>
        <v>34309.563215272021</v>
      </c>
      <c r="I4051">
        <f>138730*(1.01^10)</f>
        <v>153244.22745829643</v>
      </c>
      <c r="J4051" t="s">
        <v>12616</v>
      </c>
      <c r="K4051">
        <f t="shared" si="63"/>
        <v>207.90436372532042</v>
      </c>
    </row>
    <row r="4052" spans="1:11" x14ac:dyDescent="0.2">
      <c r="A4052" t="s">
        <v>313</v>
      </c>
      <c r="B4052" t="s">
        <v>957</v>
      </c>
      <c r="C4052" t="s">
        <v>12617</v>
      </c>
      <c r="D4052" t="s">
        <v>12618</v>
      </c>
      <c r="E4052" t="s">
        <v>282</v>
      </c>
      <c r="F4052" t="s">
        <v>97</v>
      </c>
      <c r="G4052" t="s">
        <v>24</v>
      </c>
      <c r="H4052">
        <f>34607*(1.01^10)</f>
        <v>38227.657894105563</v>
      </c>
      <c r="I4052">
        <f>149363*(1.01^10)</f>
        <v>164989.67451779378</v>
      </c>
      <c r="J4052" t="s">
        <v>12619</v>
      </c>
      <c r="K4052">
        <f t="shared" si="63"/>
        <v>202.94681786264411</v>
      </c>
    </row>
    <row r="4053" spans="1:11" x14ac:dyDescent="0.2">
      <c r="A4053" t="s">
        <v>313</v>
      </c>
      <c r="B4053" t="s">
        <v>1561</v>
      </c>
      <c r="C4053" t="s">
        <v>12620</v>
      </c>
      <c r="D4053" t="s">
        <v>12621</v>
      </c>
      <c r="E4053" t="s">
        <v>315</v>
      </c>
      <c r="F4053" t="s">
        <v>158</v>
      </c>
      <c r="G4053" t="s">
        <v>24</v>
      </c>
      <c r="H4053">
        <f>41289*(1.01^10)</f>
        <v>45608.742936103234</v>
      </c>
      <c r="I4053">
        <f>189051*(1.01^10)</f>
        <v>208829.91743111366</v>
      </c>
      <c r="J4053" t="s">
        <v>12622</v>
      </c>
      <c r="K4053">
        <f t="shared" si="63"/>
        <v>236.46030394736303</v>
      </c>
    </row>
    <row r="4054" spans="1:11" x14ac:dyDescent="0.2">
      <c r="A4054" t="s">
        <v>313</v>
      </c>
      <c r="B4054" t="s">
        <v>1561</v>
      </c>
      <c r="C4054" t="s">
        <v>12623</v>
      </c>
      <c r="D4054" t="s">
        <v>12624</v>
      </c>
      <c r="E4054" t="s">
        <v>399</v>
      </c>
      <c r="F4054" t="s">
        <v>411</v>
      </c>
      <c r="G4054" t="s">
        <v>12</v>
      </c>
      <c r="H4054">
        <f>38162*(1.01^10)</f>
        <v>42154.589549942393</v>
      </c>
      <c r="I4054">
        <f>175208*(1.01^10)</f>
        <v>193538.63334904637</v>
      </c>
      <c r="J4054" t="s">
        <v>12625</v>
      </c>
      <c r="K4054">
        <f t="shared" si="63"/>
        <v>262.88509168450082</v>
      </c>
    </row>
    <row r="4055" spans="1:11" x14ac:dyDescent="0.2">
      <c r="A4055" t="s">
        <v>313</v>
      </c>
      <c r="B4055" t="s">
        <v>1561</v>
      </c>
      <c r="C4055" t="s">
        <v>12626</v>
      </c>
      <c r="D4055" t="s">
        <v>12627</v>
      </c>
      <c r="E4055" t="s">
        <v>1295</v>
      </c>
      <c r="F4055" t="s">
        <v>520</v>
      </c>
      <c r="G4055" t="s">
        <v>12</v>
      </c>
      <c r="H4055">
        <f>47633*(1.01^10)</f>
        <v>52616.465699711916</v>
      </c>
      <c r="I4055">
        <f>213824*(1.01^10)</f>
        <v>236194.72134392546</v>
      </c>
      <c r="J4055" t="s">
        <v>12628</v>
      </c>
      <c r="K4055">
        <f t="shared" si="63"/>
        <v>286.81811942188881</v>
      </c>
    </row>
    <row r="4056" spans="1:11" x14ac:dyDescent="0.2">
      <c r="A4056" t="s">
        <v>313</v>
      </c>
      <c r="B4056" t="s">
        <v>1561</v>
      </c>
      <c r="C4056" t="s">
        <v>12629</v>
      </c>
      <c r="D4056" t="s">
        <v>10449</v>
      </c>
      <c r="E4056" t="s">
        <v>503</v>
      </c>
      <c r="F4056" t="s">
        <v>726</v>
      </c>
      <c r="G4056" t="s">
        <v>24</v>
      </c>
      <c r="H4056">
        <f>35502*(1.01^10)</f>
        <v>39216.294696348588</v>
      </c>
      <c r="I4056">
        <f>156344*(1.01^10)</f>
        <v>172701.04157528939</v>
      </c>
      <c r="J4056" t="s">
        <v>12630</v>
      </c>
      <c r="K4056">
        <f t="shared" si="63"/>
        <v>229.06166400330179</v>
      </c>
    </row>
    <row r="4057" spans="1:11" x14ac:dyDescent="0.2">
      <c r="A4057" t="s">
        <v>313</v>
      </c>
      <c r="B4057" t="s">
        <v>1561</v>
      </c>
      <c r="C4057" t="s">
        <v>12631</v>
      </c>
      <c r="D4057" t="s">
        <v>12632</v>
      </c>
      <c r="E4057" t="s">
        <v>560</v>
      </c>
      <c r="F4057" t="s">
        <v>6</v>
      </c>
      <c r="G4057" t="s">
        <v>12</v>
      </c>
      <c r="H4057">
        <f>53601*(1.01^10)</f>
        <v>59208.850544165987</v>
      </c>
      <c r="I4057">
        <f>255188*(1.01^10)</f>
        <v>281886.31093943451</v>
      </c>
      <c r="J4057" t="s">
        <v>12633</v>
      </c>
      <c r="K4057">
        <f t="shared" si="63"/>
        <v>320.45644916037753</v>
      </c>
    </row>
    <row r="4058" spans="1:11" x14ac:dyDescent="0.2">
      <c r="A4058" t="s">
        <v>313</v>
      </c>
      <c r="B4058" t="s">
        <v>1561</v>
      </c>
      <c r="C4058" t="s">
        <v>12634</v>
      </c>
      <c r="D4058" t="s">
        <v>12635</v>
      </c>
      <c r="E4058" t="s">
        <v>32</v>
      </c>
      <c r="F4058" t="s">
        <v>11</v>
      </c>
      <c r="G4058" t="s">
        <v>12</v>
      </c>
      <c r="H4058">
        <f>43277*(1.01^10)</f>
        <v>47804.731721420707</v>
      </c>
      <c r="I4058">
        <f>207545*(1.01^10)</f>
        <v>229258.79901846847</v>
      </c>
      <c r="J4058" t="s">
        <v>12636</v>
      </c>
      <c r="K4058">
        <f t="shared" si="63"/>
        <v>277.97705824680321</v>
      </c>
    </row>
    <row r="4059" spans="1:11" x14ac:dyDescent="0.2">
      <c r="A4059" t="s">
        <v>313</v>
      </c>
      <c r="B4059" t="s">
        <v>3296</v>
      </c>
      <c r="C4059" t="s">
        <v>12637</v>
      </c>
      <c r="D4059" t="s">
        <v>12638</v>
      </c>
      <c r="E4059" t="s">
        <v>453</v>
      </c>
      <c r="F4059" t="s">
        <v>5</v>
      </c>
      <c r="G4059" t="s">
        <v>12</v>
      </c>
      <c r="H4059">
        <f>35596*(1.01^10)</f>
        <v>39320.129176137241</v>
      </c>
      <c r="I4059">
        <f>184665*(1.01^10)</f>
        <v>203985.04478906014</v>
      </c>
      <c r="J4059" t="s">
        <v>12639</v>
      </c>
      <c r="K4059">
        <f t="shared" si="63"/>
        <v>136.39466737257874</v>
      </c>
    </row>
    <row r="4060" spans="1:11" x14ac:dyDescent="0.2">
      <c r="A4060" t="s">
        <v>313</v>
      </c>
      <c r="B4060" t="s">
        <v>3296</v>
      </c>
      <c r="C4060" t="s">
        <v>12640</v>
      </c>
      <c r="D4060" t="s">
        <v>12641</v>
      </c>
      <c r="E4060" t="s">
        <v>269</v>
      </c>
      <c r="F4060" t="s">
        <v>103</v>
      </c>
      <c r="G4060" t="s">
        <v>12</v>
      </c>
      <c r="H4060">
        <f>23494*(1.01^10)</f>
        <v>25951.992214410846</v>
      </c>
      <c r="I4060">
        <f>118815*(1.01^10)</f>
        <v>131245.67783073228</v>
      </c>
      <c r="J4060" t="s">
        <v>12642</v>
      </c>
      <c r="K4060">
        <f t="shared" si="63"/>
        <v>52.98638168033235</v>
      </c>
    </row>
    <row r="4061" spans="1:11" x14ac:dyDescent="0.2">
      <c r="A4061" t="s">
        <v>313</v>
      </c>
      <c r="B4061" t="s">
        <v>3296</v>
      </c>
      <c r="C4061" t="s">
        <v>12643</v>
      </c>
      <c r="D4061" t="s">
        <v>12644</v>
      </c>
      <c r="E4061" t="s">
        <v>1002</v>
      </c>
      <c r="F4061" t="s">
        <v>796</v>
      </c>
      <c r="G4061" t="s">
        <v>12</v>
      </c>
      <c r="H4061">
        <f>36355*(1.01^10)</f>
        <v>40158.537369324345</v>
      </c>
      <c r="I4061">
        <f>160903*(1.01^10)</f>
        <v>177737.01384503907</v>
      </c>
      <c r="J4061" t="s">
        <v>12645</v>
      </c>
      <c r="K4061">
        <f t="shared" si="63"/>
        <v>335.03678387377767</v>
      </c>
    </row>
    <row r="4062" spans="1:11" x14ac:dyDescent="0.2">
      <c r="A4062" t="s">
        <v>313</v>
      </c>
      <c r="B4062" t="s">
        <v>3296</v>
      </c>
      <c r="C4062" t="s">
        <v>12646</v>
      </c>
      <c r="D4062" t="s">
        <v>12647</v>
      </c>
      <c r="E4062" t="s">
        <v>759</v>
      </c>
      <c r="F4062" t="s">
        <v>374</v>
      </c>
      <c r="G4062" t="s">
        <v>12</v>
      </c>
      <c r="H4062">
        <f>59759*(1.01^10)</f>
        <v>66011.113592448179</v>
      </c>
      <c r="I4062">
        <f>279479*(1.01^10)</f>
        <v>308718.68698779808</v>
      </c>
      <c r="J4062" t="s">
        <v>12648</v>
      </c>
      <c r="K4062">
        <f t="shared" si="63"/>
        <v>462.92295129301397</v>
      </c>
    </row>
    <row r="4063" spans="1:11" x14ac:dyDescent="0.2">
      <c r="A4063" t="s">
        <v>313</v>
      </c>
      <c r="B4063" t="s">
        <v>3296</v>
      </c>
      <c r="C4063" t="s">
        <v>12649</v>
      </c>
      <c r="D4063" t="s">
        <v>12650</v>
      </c>
      <c r="E4063" t="s">
        <v>1233</v>
      </c>
      <c r="F4063" t="s">
        <v>97</v>
      </c>
      <c r="G4063" t="s">
        <v>12</v>
      </c>
      <c r="H4063">
        <f>44598*(1.01^10)</f>
        <v>49263.937549088907</v>
      </c>
      <c r="I4063">
        <f>196258*(1.01^10)</f>
        <v>216790.92908895222</v>
      </c>
      <c r="J4063" t="s">
        <v>12651</v>
      </c>
      <c r="K4063">
        <f t="shared" si="63"/>
        <v>315.94346749195131</v>
      </c>
    </row>
    <row r="4064" spans="1:11" x14ac:dyDescent="0.2">
      <c r="A4064" t="s">
        <v>313</v>
      </c>
      <c r="B4064" t="s">
        <v>3296</v>
      </c>
      <c r="C4064" t="s">
        <v>12652</v>
      </c>
      <c r="D4064" t="s">
        <v>12653</v>
      </c>
      <c r="E4064" t="s">
        <v>40</v>
      </c>
      <c r="F4064" t="s">
        <v>425</v>
      </c>
      <c r="G4064" t="s">
        <v>12</v>
      </c>
      <c r="H4064">
        <f>42454*(1.01^10)</f>
        <v>46895.627712207286</v>
      </c>
      <c r="I4064">
        <f>182484*(1.01^10)</f>
        <v>201575.86393353829</v>
      </c>
      <c r="J4064" t="s">
        <v>12654</v>
      </c>
      <c r="K4064">
        <f t="shared" si="63"/>
        <v>250.59469154705837</v>
      </c>
    </row>
    <row r="4065" spans="1:11" x14ac:dyDescent="0.2">
      <c r="A4065" t="s">
        <v>313</v>
      </c>
      <c r="B4065" t="s">
        <v>3296</v>
      </c>
      <c r="C4065" t="s">
        <v>12655</v>
      </c>
      <c r="D4065" t="s">
        <v>12656</v>
      </c>
      <c r="E4065" t="s">
        <v>1912</v>
      </c>
      <c r="F4065" t="s">
        <v>274</v>
      </c>
      <c r="G4065" t="s">
        <v>17</v>
      </c>
      <c r="H4065">
        <f>51927*(1.01^10)</f>
        <v>57359.713106227631</v>
      </c>
      <c r="I4065">
        <f>224984*(1.01^10)</f>
        <v>248522.3042635145</v>
      </c>
      <c r="J4065" t="s">
        <v>12657</v>
      </c>
      <c r="K4065">
        <f t="shared" si="63"/>
        <v>334.59751499631705</v>
      </c>
    </row>
    <row r="4066" spans="1:11" x14ac:dyDescent="0.2">
      <c r="A4066" t="s">
        <v>313</v>
      </c>
      <c r="B4066" t="s">
        <v>3296</v>
      </c>
      <c r="C4066" t="s">
        <v>12658</v>
      </c>
      <c r="D4066" t="s">
        <v>12659</v>
      </c>
      <c r="E4066" t="s">
        <v>1362</v>
      </c>
      <c r="F4066" t="s">
        <v>726</v>
      </c>
      <c r="G4066" t="s">
        <v>24</v>
      </c>
      <c r="H4066">
        <f>25429*(1.01^10)</f>
        <v>28089.436027081527</v>
      </c>
      <c r="I4066">
        <f>104728*(1.01^10)</f>
        <v>115684.86595006465</v>
      </c>
      <c r="J4066" t="s">
        <v>12660</v>
      </c>
      <c r="K4066">
        <f t="shared" si="63"/>
        <v>212.25801979755724</v>
      </c>
    </row>
    <row r="4067" spans="1:11" x14ac:dyDescent="0.2">
      <c r="A4067" t="s">
        <v>313</v>
      </c>
      <c r="B4067" t="s">
        <v>3296</v>
      </c>
      <c r="C4067" t="s">
        <v>12661</v>
      </c>
      <c r="D4067" t="s">
        <v>12662</v>
      </c>
      <c r="E4067" t="s">
        <v>626</v>
      </c>
      <c r="F4067" t="s">
        <v>422</v>
      </c>
      <c r="G4067" t="s">
        <v>12</v>
      </c>
      <c r="H4067">
        <f>169937*(1.01^10)</f>
        <v>187716.17012600391</v>
      </c>
      <c r="I4067">
        <f>788327*(1.01^10)</f>
        <v>870803.44625903876</v>
      </c>
      <c r="J4067" t="s">
        <v>12663</v>
      </c>
      <c r="K4067">
        <f t="shared" si="63"/>
        <v>963.02247883199016</v>
      </c>
    </row>
    <row r="4068" spans="1:11" x14ac:dyDescent="0.2">
      <c r="A4068" t="s">
        <v>313</v>
      </c>
      <c r="B4068" t="s">
        <v>3296</v>
      </c>
      <c r="C4068" t="s">
        <v>12664</v>
      </c>
      <c r="D4068" t="s">
        <v>12665</v>
      </c>
      <c r="E4068" t="s">
        <v>626</v>
      </c>
      <c r="F4068" t="s">
        <v>56</v>
      </c>
      <c r="G4068" t="s">
        <v>24</v>
      </c>
      <c r="H4068">
        <f>27142*(1.01^10)</f>
        <v>29981.653727910918</v>
      </c>
      <c r="I4068">
        <f>113109*(1.01^10)</f>
        <v>124942.70398313596</v>
      </c>
      <c r="J4068" t="s">
        <v>12666</v>
      </c>
      <c r="K4068">
        <f t="shared" si="63"/>
        <v>214.96258621051211</v>
      </c>
    </row>
    <row r="4069" spans="1:11" x14ac:dyDescent="0.2">
      <c r="A4069" t="s">
        <v>313</v>
      </c>
      <c r="B4069" t="s">
        <v>3296</v>
      </c>
      <c r="C4069" t="s">
        <v>12667</v>
      </c>
      <c r="D4069" t="s">
        <v>12668</v>
      </c>
      <c r="E4069" t="s">
        <v>1295</v>
      </c>
      <c r="F4069" t="s">
        <v>411</v>
      </c>
      <c r="G4069" t="s">
        <v>12</v>
      </c>
      <c r="H4069">
        <f>41867*(1.01^10)</f>
        <v>46247.214524590912</v>
      </c>
      <c r="I4069">
        <f>175061*(1.01^10)</f>
        <v>193376.25389661093</v>
      </c>
      <c r="J4069" t="s">
        <v>12669</v>
      </c>
      <c r="K4069">
        <f t="shared" si="63"/>
        <v>246.65023902324069</v>
      </c>
    </row>
    <row r="4070" spans="1:11" x14ac:dyDescent="0.2">
      <c r="A4070" t="s">
        <v>313</v>
      </c>
      <c r="B4070" t="s">
        <v>3296</v>
      </c>
      <c r="C4070" t="s">
        <v>12670</v>
      </c>
      <c r="D4070" t="s">
        <v>12671</v>
      </c>
      <c r="E4070" t="s">
        <v>386</v>
      </c>
      <c r="F4070" t="s">
        <v>1656</v>
      </c>
      <c r="G4070" t="s">
        <v>24</v>
      </c>
      <c r="H4070">
        <f>32514*(1.01^10)</f>
        <v>35915.683785619913</v>
      </c>
      <c r="I4070">
        <f>129810*(1.01^10)</f>
        <v>143390.99809962849</v>
      </c>
      <c r="J4070" t="s">
        <v>12672</v>
      </c>
      <c r="K4070">
        <f t="shared" si="63"/>
        <v>182.21106563266849</v>
      </c>
    </row>
    <row r="4071" spans="1:11" x14ac:dyDescent="0.2">
      <c r="A4071" t="s">
        <v>313</v>
      </c>
      <c r="B4071" t="s">
        <v>3296</v>
      </c>
      <c r="C4071" t="s">
        <v>12673</v>
      </c>
      <c r="D4071" t="s">
        <v>12674</v>
      </c>
      <c r="E4071" t="s">
        <v>394</v>
      </c>
      <c r="F4071" t="s">
        <v>318</v>
      </c>
      <c r="G4071" t="s">
        <v>12</v>
      </c>
      <c r="H4071">
        <f>23606*(1.01^10)</f>
        <v>26075.7098924569</v>
      </c>
      <c r="I4071">
        <f>96907*(1.01^10)</f>
        <v>107045.61630722362</v>
      </c>
      <c r="J4071" t="s">
        <v>12675</v>
      </c>
      <c r="K4071">
        <f t="shared" si="63"/>
        <v>190.52686940627868</v>
      </c>
    </row>
    <row r="4072" spans="1:11" x14ac:dyDescent="0.2">
      <c r="A4072" t="s">
        <v>313</v>
      </c>
      <c r="B4072" t="s">
        <v>3296</v>
      </c>
      <c r="C4072" t="s">
        <v>12676</v>
      </c>
      <c r="D4072" t="s">
        <v>12677</v>
      </c>
      <c r="E4072" t="s">
        <v>498</v>
      </c>
      <c r="F4072" t="s">
        <v>56</v>
      </c>
      <c r="G4072" t="s">
        <v>12</v>
      </c>
      <c r="H4072">
        <f>32773*(1.01^10)</f>
        <v>36201.780916101416</v>
      </c>
      <c r="I4072">
        <f>132915*(1.01^10)</f>
        <v>146820.84979903029</v>
      </c>
      <c r="J4072" t="s">
        <v>12678</v>
      </c>
      <c r="K4072">
        <f t="shared" si="63"/>
        <v>228.1633744099058</v>
      </c>
    </row>
    <row r="4073" spans="1:11" x14ac:dyDescent="0.2">
      <c r="A4073" t="s">
        <v>313</v>
      </c>
      <c r="B4073" t="s">
        <v>1744</v>
      </c>
      <c r="C4073" t="s">
        <v>12679</v>
      </c>
      <c r="D4073" t="s">
        <v>12680</v>
      </c>
      <c r="E4073" t="s">
        <v>498</v>
      </c>
      <c r="F4073" t="s">
        <v>542</v>
      </c>
      <c r="G4073" t="s">
        <v>24</v>
      </c>
      <c r="H4073">
        <f>18242*(1.01^10)</f>
        <v>20150.516811751197</v>
      </c>
      <c r="I4073">
        <f>76276*(1.01^10)</f>
        <v>84256.15723786506</v>
      </c>
      <c r="J4073" t="s">
        <v>12681</v>
      </c>
      <c r="K4073">
        <f t="shared" si="63"/>
        <v>152.72927155340187</v>
      </c>
    </row>
    <row r="4074" spans="1:11" x14ac:dyDescent="0.2">
      <c r="A4074" t="s">
        <v>313</v>
      </c>
      <c r="B4074" t="s">
        <v>1744</v>
      </c>
      <c r="C4074" t="s">
        <v>12682</v>
      </c>
      <c r="D4074" t="s">
        <v>12627</v>
      </c>
      <c r="E4074" t="s">
        <v>36</v>
      </c>
      <c r="F4074" t="s">
        <v>427</v>
      </c>
      <c r="G4074" t="s">
        <v>24</v>
      </c>
      <c r="H4074">
        <f>21670*(1.01^10)</f>
        <v>23937.161457660808</v>
      </c>
      <c r="I4074">
        <f>90462*(1.01^10)</f>
        <v>99926.3267089484</v>
      </c>
      <c r="J4074" t="s">
        <v>12683</v>
      </c>
      <c r="K4074">
        <f t="shared" si="63"/>
        <v>133.03643453635689</v>
      </c>
    </row>
    <row r="4075" spans="1:11" x14ac:dyDescent="0.2">
      <c r="A4075" t="s">
        <v>313</v>
      </c>
      <c r="B4075" t="s">
        <v>1744</v>
      </c>
      <c r="C4075" t="s">
        <v>12684</v>
      </c>
      <c r="D4075" t="s">
        <v>12685</v>
      </c>
      <c r="E4075" t="s">
        <v>568</v>
      </c>
      <c r="F4075" t="s">
        <v>542</v>
      </c>
      <c r="G4075" t="s">
        <v>12</v>
      </c>
      <c r="H4075">
        <f>34805*(1.01^10)</f>
        <v>38446.373074936979</v>
      </c>
      <c r="I4075">
        <f>145981*(1.01^10)</f>
        <v>161253.84248965309</v>
      </c>
      <c r="J4075" t="s">
        <v>9309</v>
      </c>
      <c r="K4075">
        <f t="shared" si="63"/>
        <v>177.53954494770619</v>
      </c>
    </row>
    <row r="4076" spans="1:11" x14ac:dyDescent="0.2">
      <c r="A4076" t="s">
        <v>313</v>
      </c>
      <c r="B4076" t="s">
        <v>1744</v>
      </c>
      <c r="C4076" t="s">
        <v>12686</v>
      </c>
      <c r="D4076" t="s">
        <v>12687</v>
      </c>
      <c r="E4076" t="s">
        <v>1295</v>
      </c>
      <c r="F4076" t="s">
        <v>47</v>
      </c>
      <c r="G4076" t="s">
        <v>12</v>
      </c>
      <c r="H4076">
        <f>30827*(1.01^10)</f>
        <v>34052.18626005121</v>
      </c>
      <c r="I4076">
        <f>129647*(1.01^10)</f>
        <v>143210.94469318647</v>
      </c>
      <c r="J4076" t="s">
        <v>12688</v>
      </c>
      <c r="K4076">
        <f t="shared" si="63"/>
        <v>187.17204225842207</v>
      </c>
    </row>
    <row r="4077" spans="1:11" x14ac:dyDescent="0.2">
      <c r="A4077" t="s">
        <v>313</v>
      </c>
      <c r="B4077" t="s">
        <v>1744</v>
      </c>
      <c r="C4077" t="s">
        <v>12689</v>
      </c>
      <c r="D4077" t="s">
        <v>12690</v>
      </c>
      <c r="E4077" t="s">
        <v>1617</v>
      </c>
      <c r="F4077" t="s">
        <v>185</v>
      </c>
      <c r="G4077" t="s">
        <v>152</v>
      </c>
      <c r="H4077">
        <f>84075*(1.01^10)</f>
        <v>92871.105193947034</v>
      </c>
      <c r="I4077">
        <f>357476*(1.01^10)</f>
        <v>394875.89890349581</v>
      </c>
      <c r="J4077" t="s">
        <v>12691</v>
      </c>
      <c r="K4077">
        <f t="shared" si="63"/>
        <v>509.73433707707261</v>
      </c>
    </row>
    <row r="4078" spans="1:11" x14ac:dyDescent="0.2">
      <c r="A4078" t="s">
        <v>313</v>
      </c>
      <c r="B4078" t="s">
        <v>1744</v>
      </c>
      <c r="C4078" t="s">
        <v>12692</v>
      </c>
      <c r="D4078" t="s">
        <v>2426</v>
      </c>
      <c r="E4078" t="s">
        <v>40</v>
      </c>
      <c r="F4078" t="s">
        <v>333</v>
      </c>
      <c r="G4078" t="s">
        <v>17</v>
      </c>
      <c r="H4078">
        <f>38525*(1.01^10)</f>
        <v>42555.567381466666</v>
      </c>
      <c r="I4078">
        <f>159877*(1.01^10)</f>
        <v>176603.67154436719</v>
      </c>
      <c r="J4078" t="s">
        <v>12693</v>
      </c>
      <c r="K4078">
        <f t="shared" si="63"/>
        <v>259.364191367974</v>
      </c>
    </row>
    <row r="4079" spans="1:11" x14ac:dyDescent="0.2">
      <c r="A4079" t="s">
        <v>313</v>
      </c>
      <c r="B4079" t="s">
        <v>1744</v>
      </c>
      <c r="C4079" t="s">
        <v>12694</v>
      </c>
      <c r="D4079" t="s">
        <v>12695</v>
      </c>
      <c r="E4079" t="s">
        <v>2777</v>
      </c>
      <c r="F4079" t="s">
        <v>23</v>
      </c>
      <c r="G4079" t="s">
        <v>12</v>
      </c>
      <c r="H4079">
        <f>53349*(1.01^10)</f>
        <v>58930.485768562365</v>
      </c>
      <c r="I4079">
        <f>224017*(1.01^10)</f>
        <v>247454.13466824187</v>
      </c>
      <c r="J4079" t="s">
        <v>12696</v>
      </c>
      <c r="K4079">
        <f t="shared" si="63"/>
        <v>271.67982463054778</v>
      </c>
    </row>
    <row r="4080" spans="1:11" x14ac:dyDescent="0.2">
      <c r="A4080" t="s">
        <v>313</v>
      </c>
      <c r="B4080" t="s">
        <v>1744</v>
      </c>
      <c r="C4080" t="s">
        <v>12697</v>
      </c>
      <c r="D4080" t="s">
        <v>12698</v>
      </c>
      <c r="E4080" t="s">
        <v>310</v>
      </c>
      <c r="F4080" t="s">
        <v>1027</v>
      </c>
      <c r="G4080" t="s">
        <v>24</v>
      </c>
      <c r="H4080">
        <f>28353*(1.01^10)</f>
        <v>31319.35112178389</v>
      </c>
      <c r="I4080">
        <f>117038*(1.01^10)</f>
        <v>129282.76431387659</v>
      </c>
      <c r="J4080" t="s">
        <v>12699</v>
      </c>
      <c r="K4080">
        <f t="shared" si="63"/>
        <v>133.77769486121335</v>
      </c>
    </row>
    <row r="4081" spans="1:11" x14ac:dyDescent="0.2">
      <c r="A4081" t="s">
        <v>313</v>
      </c>
      <c r="B4081" t="s">
        <v>3614</v>
      </c>
      <c r="C4081" t="s">
        <v>12700</v>
      </c>
      <c r="D4081" t="s">
        <v>12701</v>
      </c>
      <c r="E4081" t="s">
        <v>555</v>
      </c>
      <c r="F4081" t="s">
        <v>427</v>
      </c>
      <c r="G4081" t="s">
        <v>17</v>
      </c>
      <c r="H4081">
        <f>34398*(1.01^10)</f>
        <v>37996.791869894623</v>
      </c>
      <c r="I4081">
        <f>147907*(1.01^10)</f>
        <v>163381.34470319506</v>
      </c>
      <c r="J4081" t="s">
        <v>12702</v>
      </c>
      <c r="K4081">
        <f t="shared" si="63"/>
        <v>232.41912015362902</v>
      </c>
    </row>
    <row r="4082" spans="1:11" x14ac:dyDescent="0.2">
      <c r="A4082" t="s">
        <v>313</v>
      </c>
      <c r="B4082" t="s">
        <v>3614</v>
      </c>
      <c r="C4082" t="s">
        <v>12703</v>
      </c>
      <c r="D4082" t="s">
        <v>12704</v>
      </c>
      <c r="E4082" t="s">
        <v>151</v>
      </c>
      <c r="F4082" t="s">
        <v>61</v>
      </c>
      <c r="G4082" t="s">
        <v>12</v>
      </c>
      <c r="H4082">
        <f>37710*(1.01^10)</f>
        <v>41655.300349256533</v>
      </c>
      <c r="I4082">
        <f>163808*(1.01^10)</f>
        <v>180945.94111935861</v>
      </c>
      <c r="J4082" t="s">
        <v>12705</v>
      </c>
      <c r="K4082">
        <f t="shared" si="63"/>
        <v>200.16808203741121</v>
      </c>
    </row>
    <row r="4083" spans="1:11" x14ac:dyDescent="0.2">
      <c r="A4083" t="s">
        <v>313</v>
      </c>
      <c r="B4083" t="s">
        <v>3614</v>
      </c>
      <c r="C4083" t="s">
        <v>12706</v>
      </c>
      <c r="D4083" t="s">
        <v>12707</v>
      </c>
      <c r="E4083" t="s">
        <v>611</v>
      </c>
      <c r="F4083" t="s">
        <v>152</v>
      </c>
      <c r="G4083" t="s">
        <v>11</v>
      </c>
      <c r="H4083">
        <f>28573*(1.01^10)</f>
        <v>31562.367989374354</v>
      </c>
      <c r="I4083">
        <f>122363*(1.01^10)</f>
        <v>135164.87713169126</v>
      </c>
      <c r="J4083" t="s">
        <v>12708</v>
      </c>
      <c r="K4083">
        <f t="shared" si="63"/>
        <v>265.98881677363676</v>
      </c>
    </row>
    <row r="4084" spans="1:11" x14ac:dyDescent="0.2">
      <c r="A4084" t="s">
        <v>313</v>
      </c>
      <c r="B4084" t="s">
        <v>3614</v>
      </c>
      <c r="C4084" t="s">
        <v>12709</v>
      </c>
      <c r="D4084" t="s">
        <v>12710</v>
      </c>
      <c r="E4084" t="s">
        <v>404</v>
      </c>
      <c r="F4084" t="s">
        <v>158</v>
      </c>
      <c r="G4084" t="s">
        <v>6</v>
      </c>
      <c r="H4084">
        <f>51327*(1.01^10)</f>
        <v>56696.939830980904</v>
      </c>
      <c r="I4084">
        <f>229450*(1.01^10)</f>
        <v>253455.54667560093</v>
      </c>
      <c r="J4084" t="s">
        <v>12711</v>
      </c>
      <c r="K4084">
        <f t="shared" si="63"/>
        <v>392.5830558318504</v>
      </c>
    </row>
    <row r="4085" spans="1:11" x14ac:dyDescent="0.2">
      <c r="A4085" t="s">
        <v>313</v>
      </c>
      <c r="B4085" t="s">
        <v>3614</v>
      </c>
      <c r="C4085" t="s">
        <v>12712</v>
      </c>
      <c r="D4085" t="s">
        <v>12713</v>
      </c>
      <c r="E4085" t="s">
        <v>1617</v>
      </c>
      <c r="F4085" t="s">
        <v>6</v>
      </c>
      <c r="G4085" t="s">
        <v>11</v>
      </c>
      <c r="H4085">
        <f>30605*(1.01^10)</f>
        <v>33806.960148209924</v>
      </c>
      <c r="I4085">
        <f>143019*(1.01^10)</f>
        <v>157981.95175418508</v>
      </c>
      <c r="J4085" t="s">
        <v>12714</v>
      </c>
      <c r="K4085">
        <f t="shared" si="63"/>
        <v>196.28988588313837</v>
      </c>
    </row>
    <row r="4086" spans="1:11" x14ac:dyDescent="0.2">
      <c r="A4086" t="s">
        <v>313</v>
      </c>
      <c r="B4086" t="s">
        <v>3614</v>
      </c>
      <c r="C4086" t="s">
        <v>12715</v>
      </c>
      <c r="D4086" t="s">
        <v>12716</v>
      </c>
      <c r="E4086" t="s">
        <v>1352</v>
      </c>
      <c r="F4086" t="s">
        <v>108</v>
      </c>
      <c r="G4086" t="s">
        <v>17</v>
      </c>
      <c r="H4086">
        <f>35249*(1.01^10)</f>
        <v>38936.825298619558</v>
      </c>
      <c r="I4086">
        <f>158643*(1.01^10)</f>
        <v>175240.56784160977</v>
      </c>
      <c r="J4086" t="s">
        <v>12717</v>
      </c>
      <c r="K4086">
        <f t="shared" si="63"/>
        <v>150.00262601464564</v>
      </c>
    </row>
    <row r="4087" spans="1:11" x14ac:dyDescent="0.2">
      <c r="A4087" t="s">
        <v>313</v>
      </c>
      <c r="B4087" t="s">
        <v>3614</v>
      </c>
      <c r="C4087" t="s">
        <v>12718</v>
      </c>
      <c r="D4087" t="s">
        <v>12719</v>
      </c>
      <c r="E4087" t="s">
        <v>4</v>
      </c>
      <c r="F4087" t="s">
        <v>92</v>
      </c>
      <c r="G4087" t="s">
        <v>12</v>
      </c>
      <c r="H4087">
        <f>31730*(1.01^10)</f>
        <v>35049.660039297523</v>
      </c>
      <c r="I4087">
        <f>139776*(1.01^10)</f>
        <v>154399.66220147655</v>
      </c>
      <c r="J4087" t="s">
        <v>12720</v>
      </c>
      <c r="K4087">
        <f t="shared" si="63"/>
        <v>249.26489651847984</v>
      </c>
    </row>
    <row r="4088" spans="1:11" x14ac:dyDescent="0.2">
      <c r="A4088" t="s">
        <v>313</v>
      </c>
      <c r="B4088" t="s">
        <v>3614</v>
      </c>
      <c r="C4088" t="s">
        <v>12721</v>
      </c>
      <c r="D4088" t="s">
        <v>12722</v>
      </c>
      <c r="E4088" t="s">
        <v>1106</v>
      </c>
      <c r="F4088" t="s">
        <v>12</v>
      </c>
      <c r="G4088" t="s">
        <v>92</v>
      </c>
      <c r="H4088">
        <f>50307*(1.01^10)</f>
        <v>55570.225263061475</v>
      </c>
      <c r="I4088">
        <f>238870*(1.01^10)</f>
        <v>263861.08709697449</v>
      </c>
      <c r="J4088" t="s">
        <v>12723</v>
      </c>
      <c r="K4088">
        <f t="shared" si="63"/>
        <v>654.93717011758963</v>
      </c>
    </row>
    <row r="4089" spans="1:11" x14ac:dyDescent="0.2">
      <c r="A4089" t="s">
        <v>313</v>
      </c>
      <c r="B4089" t="s">
        <v>3614</v>
      </c>
      <c r="C4089" t="s">
        <v>12724</v>
      </c>
      <c r="D4089" t="s">
        <v>12725</v>
      </c>
      <c r="E4089" t="s">
        <v>2777</v>
      </c>
      <c r="F4089" t="s">
        <v>274</v>
      </c>
      <c r="G4089" t="s">
        <v>152</v>
      </c>
      <c r="H4089">
        <f>70781*(1.01^10)</f>
        <v>78186.258658730483</v>
      </c>
      <c r="I4089">
        <f>302195*(1.01^10)</f>
        <v>333811.28318863903</v>
      </c>
      <c r="J4089" t="s">
        <v>12726</v>
      </c>
      <c r="K4089">
        <f t="shared" si="63"/>
        <v>506.08561200020387</v>
      </c>
    </row>
    <row r="4090" spans="1:11" x14ac:dyDescent="0.2">
      <c r="A4090" t="s">
        <v>313</v>
      </c>
      <c r="B4090" t="s">
        <v>3614</v>
      </c>
      <c r="C4090" t="s">
        <v>12727</v>
      </c>
      <c r="D4090" t="s">
        <v>12728</v>
      </c>
      <c r="E4090" t="s">
        <v>24</v>
      </c>
      <c r="F4090" t="s">
        <v>24</v>
      </c>
      <c r="G4090" t="s">
        <v>12</v>
      </c>
      <c r="H4090">
        <f>527634*(1.01^10)</f>
        <v>582836.19051921566</v>
      </c>
      <c r="I4090">
        <f>2405665*(1.01^10)</f>
        <v>2657350.7853273461</v>
      </c>
      <c r="J4090" t="s">
        <v>12729</v>
      </c>
      <c r="K4090">
        <f t="shared" si="63"/>
        <v>12214.335288322054</v>
      </c>
    </row>
    <row r="4091" spans="1:11" x14ac:dyDescent="0.2">
      <c r="A4091" t="s">
        <v>313</v>
      </c>
      <c r="B4091" t="s">
        <v>3614</v>
      </c>
      <c r="C4091" t="s">
        <v>12730</v>
      </c>
      <c r="D4091" t="s">
        <v>12731</v>
      </c>
      <c r="E4091" t="s">
        <v>282</v>
      </c>
      <c r="F4091" t="s">
        <v>726</v>
      </c>
      <c r="G4091" t="s">
        <v>6</v>
      </c>
      <c r="H4091">
        <f>58928*(1.01^10)</f>
        <v>65093.17260623147</v>
      </c>
      <c r="I4091">
        <f>242198*(1.01^10)</f>
        <v>267537.26953034295</v>
      </c>
      <c r="J4091" t="s">
        <v>12732</v>
      </c>
      <c r="K4091">
        <f t="shared" si="63"/>
        <v>343.22531627539252</v>
      </c>
    </row>
    <row r="4092" spans="1:11" x14ac:dyDescent="0.2">
      <c r="A4092" t="s">
        <v>313</v>
      </c>
      <c r="B4092" t="s">
        <v>3614</v>
      </c>
      <c r="C4092" t="s">
        <v>12733</v>
      </c>
      <c r="D4092" t="s">
        <v>12734</v>
      </c>
      <c r="E4092" t="s">
        <v>679</v>
      </c>
      <c r="F4092" t="s">
        <v>619</v>
      </c>
      <c r="G4092" t="s">
        <v>12</v>
      </c>
      <c r="H4092">
        <f>35521*(1.01^10)</f>
        <v>39237.2825167314</v>
      </c>
      <c r="I4092">
        <f>154180*(1.01^10)</f>
        <v>170310.63929589954</v>
      </c>
      <c r="J4092" t="s">
        <v>12735</v>
      </c>
      <c r="K4092">
        <f t="shared" si="63"/>
        <v>172.16833563742739</v>
      </c>
    </row>
    <row r="4093" spans="1:11" x14ac:dyDescent="0.2">
      <c r="A4093" t="s">
        <v>313</v>
      </c>
      <c r="B4093" t="s">
        <v>3614</v>
      </c>
      <c r="C4093" t="s">
        <v>12736</v>
      </c>
      <c r="D4093" t="s">
        <v>12737</v>
      </c>
      <c r="E4093" t="s">
        <v>413</v>
      </c>
      <c r="F4093" t="s">
        <v>1506</v>
      </c>
      <c r="G4093" t="s">
        <v>24</v>
      </c>
      <c r="H4093">
        <f>28791*(1.01^10)</f>
        <v>31803.175612713996</v>
      </c>
      <c r="I4093">
        <f>123977*(1.01^10)</f>
        <v>136947.73724210492</v>
      </c>
      <c r="J4093" t="s">
        <v>12738</v>
      </c>
      <c r="K4093">
        <f t="shared" si="63"/>
        <v>167.88571720946516</v>
      </c>
    </row>
    <row r="4094" spans="1:11" x14ac:dyDescent="0.2">
      <c r="A4094" t="s">
        <v>313</v>
      </c>
      <c r="B4094" t="s">
        <v>3614</v>
      </c>
      <c r="C4094" t="s">
        <v>12739</v>
      </c>
      <c r="D4094" t="s">
        <v>12740</v>
      </c>
      <c r="E4094" t="s">
        <v>626</v>
      </c>
      <c r="F4094" t="s">
        <v>56</v>
      </c>
      <c r="G4094" t="s">
        <v>24</v>
      </c>
      <c r="H4094">
        <f>19990*(1.01^10)</f>
        <v>22081.396286969983</v>
      </c>
      <c r="I4094">
        <f>81519*(1.01^10)</f>
        <v>90047.691041395999</v>
      </c>
      <c r="J4094" t="s">
        <v>12741</v>
      </c>
      <c r="K4094">
        <f t="shared" si="63"/>
        <v>133.53257365076888</v>
      </c>
    </row>
    <row r="4095" spans="1:11" x14ac:dyDescent="0.2">
      <c r="A4095" t="s">
        <v>313</v>
      </c>
      <c r="B4095" t="s">
        <v>2153</v>
      </c>
      <c r="C4095" t="s">
        <v>12742</v>
      </c>
      <c r="D4095" t="s">
        <v>12743</v>
      </c>
      <c r="E4095" t="s">
        <v>1049</v>
      </c>
      <c r="F4095" t="s">
        <v>458</v>
      </c>
      <c r="G4095" t="s">
        <v>17</v>
      </c>
      <c r="H4095">
        <f>49962*(1.01^10)</f>
        <v>55189.130629794614</v>
      </c>
      <c r="I4095">
        <f>226108*(1.01^10)</f>
        <v>249763.89953247667</v>
      </c>
      <c r="J4095" t="s">
        <v>12744</v>
      </c>
      <c r="K4095">
        <f t="shared" si="63"/>
        <v>298.20062744902117</v>
      </c>
    </row>
    <row r="4096" spans="1:11" x14ac:dyDescent="0.2">
      <c r="A4096" t="s">
        <v>313</v>
      </c>
      <c r="B4096" t="s">
        <v>2153</v>
      </c>
      <c r="C4096" t="s">
        <v>12745</v>
      </c>
      <c r="D4096" t="s">
        <v>12746</v>
      </c>
      <c r="E4096" t="s">
        <v>368</v>
      </c>
      <c r="F4096" t="s">
        <v>158</v>
      </c>
      <c r="G4096" t="s">
        <v>12</v>
      </c>
      <c r="H4096">
        <f>34082*(1.01^10)</f>
        <v>37647.731278264677</v>
      </c>
      <c r="I4096">
        <f>150611*(1.01^10)</f>
        <v>166368.24293030697</v>
      </c>
      <c r="J4096" t="s">
        <v>12747</v>
      </c>
      <c r="K4096">
        <f t="shared" si="63"/>
        <v>340.49291445182655</v>
      </c>
    </row>
    <row r="4097" spans="1:11" x14ac:dyDescent="0.2">
      <c r="A4097" t="s">
        <v>313</v>
      </c>
      <c r="B4097" t="s">
        <v>2153</v>
      </c>
      <c r="C4097" t="s">
        <v>12748</v>
      </c>
      <c r="D4097" t="s">
        <v>12749</v>
      </c>
      <c r="E4097" t="s">
        <v>2777</v>
      </c>
      <c r="F4097" t="s">
        <v>56</v>
      </c>
      <c r="G4097" t="s">
        <v>158</v>
      </c>
      <c r="H4097">
        <f>64274*(1.01^10)</f>
        <v>70998.482488679772</v>
      </c>
      <c r="I4097">
        <f>280030*(1.01^10)</f>
        <v>309327.33377889969</v>
      </c>
      <c r="J4097" t="s">
        <v>12750</v>
      </c>
      <c r="K4097">
        <f t="shared" si="63"/>
        <v>476.50399559261155</v>
      </c>
    </row>
    <row r="4098" spans="1:11" x14ac:dyDescent="0.2">
      <c r="A4098" t="s">
        <v>313</v>
      </c>
      <c r="B4098" t="s">
        <v>2153</v>
      </c>
      <c r="C4098" t="s">
        <v>12751</v>
      </c>
      <c r="D4098" t="s">
        <v>12752</v>
      </c>
      <c r="E4098" t="s">
        <v>879</v>
      </c>
      <c r="F4098" t="s">
        <v>405</v>
      </c>
      <c r="G4098" t="s">
        <v>12</v>
      </c>
      <c r="H4098">
        <f>32452*(1.01^10)</f>
        <v>35847.197213844418</v>
      </c>
      <c r="I4098">
        <f>136879*(1.01^10)</f>
        <v>151199.57190416029</v>
      </c>
      <c r="J4098" t="s">
        <v>12753</v>
      </c>
      <c r="K4098">
        <f t="shared" si="63"/>
        <v>238.58673552484541</v>
      </c>
    </row>
    <row r="4099" spans="1:11" x14ac:dyDescent="0.2">
      <c r="A4099" t="s">
        <v>313</v>
      </c>
      <c r="B4099" t="s">
        <v>2153</v>
      </c>
      <c r="C4099" t="s">
        <v>12754</v>
      </c>
      <c r="D4099" t="s">
        <v>12755</v>
      </c>
      <c r="E4099" t="s">
        <v>172</v>
      </c>
      <c r="F4099" t="s">
        <v>744</v>
      </c>
      <c r="G4099" t="s">
        <v>12</v>
      </c>
      <c r="H4099">
        <f>31115*(1.01^10)</f>
        <v>34370.317432169635</v>
      </c>
      <c r="I4099">
        <f>128545*(1.01^10)</f>
        <v>141993.65111098331</v>
      </c>
      <c r="J4099" t="s">
        <v>12756</v>
      </c>
      <c r="K4099">
        <f t="shared" ref="K4099:K4162" si="64">I4099/J4099</f>
        <v>363.12725650457332</v>
      </c>
    </row>
    <row r="4100" spans="1:11" x14ac:dyDescent="0.2">
      <c r="A4100" t="s">
        <v>313</v>
      </c>
      <c r="B4100" t="s">
        <v>2153</v>
      </c>
      <c r="C4100" t="s">
        <v>12757</v>
      </c>
      <c r="D4100" t="s">
        <v>12758</v>
      </c>
      <c r="E4100" t="s">
        <v>1049</v>
      </c>
      <c r="F4100" t="s">
        <v>1340</v>
      </c>
      <c r="G4100" t="s">
        <v>12</v>
      </c>
      <c r="H4100">
        <f>36875*(1.01^10)</f>
        <v>40732.940874538173</v>
      </c>
      <c r="I4100">
        <f>154588*(1.01^10)</f>
        <v>170761.3251230673</v>
      </c>
      <c r="J4100" t="s">
        <v>12759</v>
      </c>
      <c r="K4100">
        <f t="shared" si="64"/>
        <v>257.88918692602476</v>
      </c>
    </row>
    <row r="4101" spans="1:11" x14ac:dyDescent="0.2">
      <c r="A4101" t="s">
        <v>313</v>
      </c>
      <c r="B4101" t="s">
        <v>2153</v>
      </c>
      <c r="C4101" t="s">
        <v>12760</v>
      </c>
      <c r="D4101" t="s">
        <v>12761</v>
      </c>
      <c r="E4101" t="s">
        <v>1101</v>
      </c>
      <c r="F4101" t="s">
        <v>158</v>
      </c>
      <c r="G4101" t="s">
        <v>24</v>
      </c>
      <c r="H4101">
        <f>29316*(1.01^10)</f>
        <v>32383.102228554879</v>
      </c>
      <c r="I4101">
        <f>123573*(1.01^10)</f>
        <v>136501.46990343882</v>
      </c>
      <c r="J4101" t="s">
        <v>12762</v>
      </c>
      <c r="K4101">
        <f t="shared" si="64"/>
        <v>321.36896975500605</v>
      </c>
    </row>
    <row r="4102" spans="1:11" x14ac:dyDescent="0.2">
      <c r="A4102" t="s">
        <v>313</v>
      </c>
      <c r="B4102" t="s">
        <v>2266</v>
      </c>
      <c r="C4102" t="s">
        <v>12763</v>
      </c>
      <c r="D4102" t="s">
        <v>12764</v>
      </c>
      <c r="E4102" t="s">
        <v>1215</v>
      </c>
      <c r="F4102" t="s">
        <v>744</v>
      </c>
      <c r="G4102" t="s">
        <v>12</v>
      </c>
      <c r="H4102">
        <f>39286*(1.01^10)</f>
        <v>43396.184818904592</v>
      </c>
      <c r="I4102">
        <f>176254*(1.01^10)</f>
        <v>194694.06809222649</v>
      </c>
      <c r="J4102" t="s">
        <v>12765</v>
      </c>
      <c r="K4102">
        <f t="shared" si="64"/>
        <v>312.57576716205062</v>
      </c>
    </row>
    <row r="4103" spans="1:11" x14ac:dyDescent="0.2">
      <c r="A4103" t="s">
        <v>313</v>
      </c>
      <c r="B4103" t="s">
        <v>2266</v>
      </c>
      <c r="C4103" t="s">
        <v>12766</v>
      </c>
      <c r="D4103" t="s">
        <v>12767</v>
      </c>
      <c r="E4103" t="s">
        <v>172</v>
      </c>
      <c r="F4103" t="s">
        <v>92</v>
      </c>
      <c r="G4103" t="s">
        <v>24</v>
      </c>
      <c r="H4103">
        <f>28046*(1.01^10)</f>
        <v>30980.232129282649</v>
      </c>
      <c r="I4103">
        <f>124890*(1.01^10)</f>
        <v>137956.25724260535</v>
      </c>
      <c r="J4103" t="s">
        <v>12768</v>
      </c>
      <c r="K4103">
        <f t="shared" si="64"/>
        <v>284.78646059742653</v>
      </c>
    </row>
    <row r="4104" spans="1:11" x14ac:dyDescent="0.2">
      <c r="A4104" t="s">
        <v>313</v>
      </c>
      <c r="B4104" t="s">
        <v>2266</v>
      </c>
      <c r="C4104" t="s">
        <v>12769</v>
      </c>
      <c r="D4104" t="s">
        <v>12770</v>
      </c>
      <c r="E4104" t="s">
        <v>568</v>
      </c>
      <c r="F4104" t="s">
        <v>12</v>
      </c>
      <c r="G4104" t="s">
        <v>92</v>
      </c>
      <c r="H4104">
        <f>90264*(1.01^10)</f>
        <v>99707.611528116991</v>
      </c>
      <c r="I4104">
        <f>421650*(1.01^10)</f>
        <v>465763.91917963448</v>
      </c>
      <c r="J4104" t="s">
        <v>12771</v>
      </c>
      <c r="K4104">
        <f t="shared" si="64"/>
        <v>702.88073519902593</v>
      </c>
    </row>
    <row r="4105" spans="1:11" x14ac:dyDescent="0.2">
      <c r="A4105" t="s">
        <v>313</v>
      </c>
      <c r="B4105" t="s">
        <v>2266</v>
      </c>
      <c r="C4105" t="s">
        <v>12772</v>
      </c>
      <c r="D4105" t="s">
        <v>12773</v>
      </c>
      <c r="E4105" t="s">
        <v>1195</v>
      </c>
      <c r="F4105" t="s">
        <v>24</v>
      </c>
      <c r="G4105" t="s">
        <v>17</v>
      </c>
      <c r="H4105">
        <f>28404*(1.01^10)</f>
        <v>31375.68685017986</v>
      </c>
      <c r="I4105">
        <f>130657*(1.01^10)</f>
        <v>144326.61303985177</v>
      </c>
      <c r="J4105" t="s">
        <v>12774</v>
      </c>
      <c r="K4105">
        <f t="shared" si="64"/>
        <v>432.99715900591553</v>
      </c>
    </row>
    <row r="4106" spans="1:11" x14ac:dyDescent="0.2">
      <c r="A4106" t="s">
        <v>313</v>
      </c>
      <c r="B4106" t="s">
        <v>2266</v>
      </c>
      <c r="C4106" t="s">
        <v>12775</v>
      </c>
      <c r="D4106" t="s">
        <v>12776</v>
      </c>
      <c r="E4106" t="s">
        <v>879</v>
      </c>
      <c r="F4106" t="s">
        <v>158</v>
      </c>
      <c r="G4106" t="s">
        <v>12</v>
      </c>
      <c r="H4106">
        <f>20026*(1.01^10)</f>
        <v>22121.162683484785</v>
      </c>
      <c r="I4106">
        <f>90679*(1.01^10)</f>
        <v>100166.02971016263</v>
      </c>
      <c r="J4106" t="s">
        <v>12777</v>
      </c>
      <c r="K4106">
        <f t="shared" si="64"/>
        <v>222.15673729187952</v>
      </c>
    </row>
    <row r="4107" spans="1:11" x14ac:dyDescent="0.2">
      <c r="A4107" t="s">
        <v>313</v>
      </c>
      <c r="B4107" t="s">
        <v>2266</v>
      </c>
      <c r="C4107" t="s">
        <v>12778</v>
      </c>
      <c r="D4107" t="s">
        <v>12779</v>
      </c>
      <c r="E4107" t="s">
        <v>368</v>
      </c>
      <c r="F4107" t="s">
        <v>6</v>
      </c>
      <c r="G4107" t="s">
        <v>24</v>
      </c>
      <c r="H4107">
        <f>26543*(1.01^10)</f>
        <v>29319.985074789609</v>
      </c>
      <c r="I4107">
        <f>115594*(1.01^10)</f>
        <v>127687.6899647828</v>
      </c>
      <c r="J4107" t="s">
        <v>12780</v>
      </c>
      <c r="K4107">
        <f t="shared" si="64"/>
        <v>196.01438390713054</v>
      </c>
    </row>
    <row r="4108" spans="1:11" x14ac:dyDescent="0.2">
      <c r="A4108" t="s">
        <v>313</v>
      </c>
      <c r="B4108" t="s">
        <v>2266</v>
      </c>
      <c r="C4108" t="s">
        <v>12781</v>
      </c>
      <c r="D4108" t="s">
        <v>12782</v>
      </c>
      <c r="E4108" t="s">
        <v>2777</v>
      </c>
      <c r="F4108" t="s">
        <v>1340</v>
      </c>
      <c r="G4108" t="s">
        <v>24</v>
      </c>
      <c r="H4108">
        <f>34856*(1.01^10)</f>
        <v>38502.708803332949</v>
      </c>
      <c r="I4108">
        <f>148265*(1.01^10)</f>
        <v>163776.79942409229</v>
      </c>
      <c r="J4108" t="s">
        <v>12783</v>
      </c>
      <c r="K4108">
        <f t="shared" si="64"/>
        <v>165.73076514515364</v>
      </c>
    </row>
    <row r="4109" spans="1:11" x14ac:dyDescent="0.2">
      <c r="A4109" t="s">
        <v>313</v>
      </c>
      <c r="B4109" t="s">
        <v>2266</v>
      </c>
      <c r="C4109" t="s">
        <v>12784</v>
      </c>
      <c r="D4109" t="s">
        <v>8302</v>
      </c>
      <c r="E4109" t="s">
        <v>1912</v>
      </c>
      <c r="F4109" t="s">
        <v>405</v>
      </c>
      <c r="G4109" t="s">
        <v>12</v>
      </c>
      <c r="H4109">
        <f>24944*(1.01^10)</f>
        <v>27553.69429625709</v>
      </c>
      <c r="I4109">
        <f>114518*(1.01^10)</f>
        <v>126499.11655784035</v>
      </c>
      <c r="J4109" t="s">
        <v>12785</v>
      </c>
      <c r="K4109">
        <f t="shared" si="64"/>
        <v>121.60687209351811</v>
      </c>
    </row>
    <row r="4110" spans="1:11" x14ac:dyDescent="0.2">
      <c r="A4110" t="s">
        <v>313</v>
      </c>
      <c r="B4110" t="s">
        <v>1155</v>
      </c>
      <c r="C4110" t="s">
        <v>12786</v>
      </c>
      <c r="D4110" t="s">
        <v>12787</v>
      </c>
      <c r="E4110" t="s">
        <v>1656</v>
      </c>
      <c r="F4110" t="s">
        <v>158</v>
      </c>
      <c r="G4110" t="s">
        <v>12</v>
      </c>
      <c r="H4110">
        <f>20167*(1.01^10)</f>
        <v>22276.914403167768</v>
      </c>
      <c r="I4110">
        <f>83607*(1.01^10)</f>
        <v>92354.142039254599</v>
      </c>
      <c r="J4110" t="s">
        <v>12788</v>
      </c>
      <c r="K4110">
        <f t="shared" si="64"/>
        <v>351.50392798681054</v>
      </c>
    </row>
    <row r="4111" spans="1:11" x14ac:dyDescent="0.2">
      <c r="A4111" t="s">
        <v>313</v>
      </c>
      <c r="B4111" t="s">
        <v>1155</v>
      </c>
      <c r="C4111" t="s">
        <v>12789</v>
      </c>
      <c r="D4111" t="s">
        <v>12790</v>
      </c>
      <c r="E4111" t="s">
        <v>1060</v>
      </c>
      <c r="F4111" t="s">
        <v>382</v>
      </c>
      <c r="G4111" t="s">
        <v>24</v>
      </c>
      <c r="H4111">
        <f>23596*(1.01^10)</f>
        <v>26064.663671202787</v>
      </c>
      <c r="I4111">
        <f>97097*(1.01^10)</f>
        <v>107255.49451105174</v>
      </c>
      <c r="J4111" t="s">
        <v>12791</v>
      </c>
      <c r="K4111">
        <f t="shared" si="64"/>
        <v>149.40171961422448</v>
      </c>
    </row>
    <row r="4112" spans="1:11" x14ac:dyDescent="0.2">
      <c r="A4112" t="s">
        <v>313</v>
      </c>
      <c r="B4112" t="s">
        <v>1155</v>
      </c>
      <c r="C4112" t="s">
        <v>12792</v>
      </c>
      <c r="D4112" t="s">
        <v>12793</v>
      </c>
      <c r="E4112" t="s">
        <v>399</v>
      </c>
      <c r="F4112" t="s">
        <v>152</v>
      </c>
      <c r="G4112" t="s">
        <v>12</v>
      </c>
      <c r="H4112">
        <f>20136*(1.01^10)</f>
        <v>22242.671117280021</v>
      </c>
      <c r="I4112">
        <f>86073*(1.01^10)</f>
        <v>95078.140200518625</v>
      </c>
      <c r="J4112" t="s">
        <v>12794</v>
      </c>
      <c r="K4112">
        <f t="shared" si="64"/>
        <v>113.23139791410851</v>
      </c>
    </row>
    <row r="4113" spans="1:11" x14ac:dyDescent="0.2">
      <c r="A4113" t="s">
        <v>313</v>
      </c>
      <c r="B4113" t="s">
        <v>1155</v>
      </c>
      <c r="C4113" t="s">
        <v>12795</v>
      </c>
      <c r="D4113" t="s">
        <v>12796</v>
      </c>
      <c r="E4113" t="s">
        <v>1010</v>
      </c>
      <c r="F4113" t="s">
        <v>152</v>
      </c>
      <c r="G4113" t="s">
        <v>24</v>
      </c>
      <c r="H4113">
        <f>9277*(1.01^10)</f>
        <v>10247.579457439746</v>
      </c>
      <c r="I4113">
        <f>42811*(1.01^10)</f>
        <v>47289.977810979086</v>
      </c>
      <c r="J4113" t="s">
        <v>12797</v>
      </c>
      <c r="K4113">
        <f t="shared" si="64"/>
        <v>69.499115000557111</v>
      </c>
    </row>
    <row r="4114" spans="1:11" x14ac:dyDescent="0.2">
      <c r="A4114" t="s">
        <v>313</v>
      </c>
      <c r="B4114" t="s">
        <v>1155</v>
      </c>
      <c r="C4114" t="s">
        <v>12798</v>
      </c>
      <c r="D4114" t="s">
        <v>11639</v>
      </c>
      <c r="E4114" t="s">
        <v>848</v>
      </c>
      <c r="F4114" t="s">
        <v>744</v>
      </c>
      <c r="G4114" t="s">
        <v>24</v>
      </c>
      <c r="H4114">
        <f>18348*(1.01^10)</f>
        <v>20267.606757044785</v>
      </c>
      <c r="I4114">
        <f>82698*(1.01^10)</f>
        <v>91350.040527255813</v>
      </c>
      <c r="J4114" t="s">
        <v>12799</v>
      </c>
      <c r="K4114">
        <f t="shared" si="64"/>
        <v>52.59311915762143</v>
      </c>
    </row>
    <row r="4115" spans="1:11" x14ac:dyDescent="0.2">
      <c r="A4115" t="s">
        <v>313</v>
      </c>
      <c r="B4115" t="s">
        <v>1155</v>
      </c>
      <c r="C4115" t="s">
        <v>12800</v>
      </c>
      <c r="D4115" t="s">
        <v>12801</v>
      </c>
      <c r="E4115" t="s">
        <v>1549</v>
      </c>
      <c r="F4115" t="s">
        <v>44</v>
      </c>
      <c r="G4115" t="s">
        <v>12</v>
      </c>
      <c r="H4115">
        <f>36386*(1.01^10)</f>
        <v>40192.780655212096</v>
      </c>
      <c r="I4115">
        <f>145963*(1.01^10)</f>
        <v>161233.95929139567</v>
      </c>
      <c r="J4115" t="s">
        <v>12802</v>
      </c>
      <c r="K4115">
        <f t="shared" si="64"/>
        <v>179.71795050035743</v>
      </c>
    </row>
    <row r="4116" spans="1:11" x14ac:dyDescent="0.2">
      <c r="A4116" t="s">
        <v>313</v>
      </c>
      <c r="B4116" t="s">
        <v>1155</v>
      </c>
      <c r="C4116" t="s">
        <v>12803</v>
      </c>
      <c r="D4116" t="s">
        <v>12804</v>
      </c>
      <c r="E4116" t="s">
        <v>128</v>
      </c>
      <c r="F4116" t="s">
        <v>445</v>
      </c>
      <c r="G4116" t="s">
        <v>12</v>
      </c>
      <c r="H4116">
        <f>43931*(1.01^10)</f>
        <v>48527.154591439634</v>
      </c>
      <c r="I4116">
        <f>179120*(1.01^10)</f>
        <v>197859.91510365499</v>
      </c>
      <c r="J4116" t="s">
        <v>12805</v>
      </c>
      <c r="K4116">
        <f t="shared" si="64"/>
        <v>150.55769765454883</v>
      </c>
    </row>
    <row r="4117" spans="1:11" x14ac:dyDescent="0.2">
      <c r="A4117" t="s">
        <v>313</v>
      </c>
      <c r="B4117" t="s">
        <v>1155</v>
      </c>
      <c r="C4117" t="s">
        <v>12806</v>
      </c>
      <c r="D4117" t="s">
        <v>12807</v>
      </c>
      <c r="E4117" t="s">
        <v>998</v>
      </c>
      <c r="F4117" t="s">
        <v>12</v>
      </c>
      <c r="G4117" t="s">
        <v>24</v>
      </c>
      <c r="H4117">
        <f>10072*(1.01^10)</f>
        <v>11125.754047141654</v>
      </c>
      <c r="I4117">
        <f>45787*(1.01^10)</f>
        <v>50577.33325620283</v>
      </c>
      <c r="J4117" t="s">
        <v>12808</v>
      </c>
      <c r="K4117">
        <f t="shared" si="64"/>
        <v>68.736947386149737</v>
      </c>
    </row>
    <row r="4118" spans="1:11" x14ac:dyDescent="0.2">
      <c r="A4118" t="s">
        <v>313</v>
      </c>
      <c r="B4118" t="s">
        <v>1155</v>
      </c>
      <c r="C4118" t="s">
        <v>12809</v>
      </c>
      <c r="D4118" t="s">
        <v>12810</v>
      </c>
      <c r="E4118" t="s">
        <v>1430</v>
      </c>
      <c r="F4118" t="s">
        <v>108</v>
      </c>
      <c r="G4118" t="s">
        <v>24</v>
      </c>
      <c r="H4118">
        <f>15692*(1.01^10)</f>
        <v>17333.730391952624</v>
      </c>
      <c r="I4118">
        <f>81713*(1.01^10)</f>
        <v>90261.987733725779</v>
      </c>
      <c r="J4118" t="s">
        <v>12811</v>
      </c>
      <c r="K4118">
        <f t="shared" si="64"/>
        <v>39.81034169881611</v>
      </c>
    </row>
    <row r="4119" spans="1:11" x14ac:dyDescent="0.2">
      <c r="A4119" t="s">
        <v>313</v>
      </c>
      <c r="B4119" t="s">
        <v>1155</v>
      </c>
      <c r="C4119" t="s">
        <v>12812</v>
      </c>
      <c r="D4119" t="s">
        <v>12813</v>
      </c>
      <c r="E4119" t="s">
        <v>1303</v>
      </c>
      <c r="F4119" t="s">
        <v>445</v>
      </c>
      <c r="G4119" t="s">
        <v>24</v>
      </c>
      <c r="H4119">
        <f>7393*(1.01^10)</f>
        <v>8166.4713731650363</v>
      </c>
      <c r="I4119">
        <f>36325*(1.01^10)</f>
        <v>40125.398705562009</v>
      </c>
      <c r="J4119" t="s">
        <v>12814</v>
      </c>
      <c r="K4119">
        <f t="shared" si="64"/>
        <v>28.24578602089429</v>
      </c>
    </row>
    <row r="4120" spans="1:11" x14ac:dyDescent="0.2">
      <c r="A4120" t="s">
        <v>313</v>
      </c>
      <c r="B4120" t="s">
        <v>1155</v>
      </c>
      <c r="C4120" t="s">
        <v>12815</v>
      </c>
      <c r="D4120" t="s">
        <v>12816</v>
      </c>
      <c r="E4120" t="s">
        <v>467</v>
      </c>
      <c r="F4120" t="s">
        <v>427</v>
      </c>
      <c r="G4120" t="s">
        <v>12</v>
      </c>
      <c r="H4120">
        <f>26446*(1.01^10)</f>
        <v>29212.836728624719</v>
      </c>
      <c r="I4120">
        <f>116992*(1.01^10)</f>
        <v>129231.95169610766</v>
      </c>
      <c r="J4120" t="s">
        <v>12817</v>
      </c>
      <c r="K4120">
        <f t="shared" si="64"/>
        <v>56.613638102294757</v>
      </c>
    </row>
    <row r="4121" spans="1:11" x14ac:dyDescent="0.2">
      <c r="A4121" t="s">
        <v>313</v>
      </c>
      <c r="B4121" t="s">
        <v>1155</v>
      </c>
      <c r="C4121" t="s">
        <v>12818</v>
      </c>
      <c r="D4121" t="s">
        <v>12819</v>
      </c>
      <c r="E4121" t="s">
        <v>1215</v>
      </c>
      <c r="F4121" t="s">
        <v>97</v>
      </c>
      <c r="G4121" t="s">
        <v>12</v>
      </c>
      <c r="H4121">
        <f>18991*(1.01^10)</f>
        <v>20977.878783684191</v>
      </c>
      <c r="I4121">
        <f>74756*(1.01^10)</f>
        <v>82577.131607240022</v>
      </c>
      <c r="J4121" t="s">
        <v>12820</v>
      </c>
      <c r="K4121">
        <f t="shared" si="64"/>
        <v>65.714731503454303</v>
      </c>
    </row>
    <row r="4122" spans="1:11" x14ac:dyDescent="0.2">
      <c r="A4122" t="s">
        <v>313</v>
      </c>
      <c r="B4122" t="s">
        <v>648</v>
      </c>
      <c r="C4122" t="s">
        <v>12821</v>
      </c>
      <c r="D4122" t="s">
        <v>12822</v>
      </c>
      <c r="E4122" t="s">
        <v>1446</v>
      </c>
      <c r="F4122" t="s">
        <v>520</v>
      </c>
      <c r="G4122" t="s">
        <v>12</v>
      </c>
      <c r="H4122">
        <f>41609*(1.01^10)</f>
        <v>45962.222016234817</v>
      </c>
      <c r="I4122">
        <f>171540*(1.01^10)</f>
        <v>189486.87939303805</v>
      </c>
      <c r="J4122" t="s">
        <v>12823</v>
      </c>
      <c r="K4122">
        <f t="shared" si="64"/>
        <v>184.15915503779465</v>
      </c>
    </row>
    <row r="4123" spans="1:11" x14ac:dyDescent="0.2">
      <c r="A4123" t="s">
        <v>313</v>
      </c>
      <c r="B4123" t="s">
        <v>648</v>
      </c>
      <c r="C4123" t="s">
        <v>12824</v>
      </c>
      <c r="D4123" t="s">
        <v>12825</v>
      </c>
      <c r="E4123" t="s">
        <v>123</v>
      </c>
      <c r="F4123" t="s">
        <v>1101</v>
      </c>
      <c r="G4123" t="s">
        <v>24</v>
      </c>
      <c r="H4123">
        <f>42850*(1.01^10)</f>
        <v>47333.058073870125</v>
      </c>
      <c r="I4123">
        <f>169547*(1.01^10)</f>
        <v>187285.36749709354</v>
      </c>
      <c r="J4123" t="s">
        <v>3737</v>
      </c>
      <c r="K4123">
        <f t="shared" si="64"/>
        <v>163.99769483108017</v>
      </c>
    </row>
    <row r="4124" spans="1:11" x14ac:dyDescent="0.2">
      <c r="A4124" t="s">
        <v>313</v>
      </c>
      <c r="B4124" t="s">
        <v>648</v>
      </c>
      <c r="C4124" t="s">
        <v>12826</v>
      </c>
      <c r="D4124" t="s">
        <v>12827</v>
      </c>
      <c r="E4124" t="s">
        <v>436</v>
      </c>
      <c r="F4124" t="s">
        <v>427</v>
      </c>
      <c r="G4124" t="s">
        <v>24</v>
      </c>
      <c r="H4124">
        <f>33733*(1.01^10)</f>
        <v>37262.218156496172</v>
      </c>
      <c r="I4124">
        <f>133020*(1.01^10)</f>
        <v>146936.83512219845</v>
      </c>
      <c r="J4124" t="s">
        <v>12828</v>
      </c>
      <c r="K4124">
        <f t="shared" si="64"/>
        <v>199.83249710621305</v>
      </c>
    </row>
    <row r="4125" spans="1:11" x14ac:dyDescent="0.2">
      <c r="A4125" t="s">
        <v>313</v>
      </c>
      <c r="B4125" t="s">
        <v>648</v>
      </c>
      <c r="C4125" t="s">
        <v>12829</v>
      </c>
      <c r="D4125" t="s">
        <v>12830</v>
      </c>
      <c r="E4125" t="s">
        <v>1303</v>
      </c>
      <c r="F4125" t="s">
        <v>427</v>
      </c>
      <c r="G4125" t="s">
        <v>12</v>
      </c>
      <c r="H4125">
        <f>41282*(1.01^10)</f>
        <v>45601.010581225353</v>
      </c>
      <c r="I4125">
        <f>166165*(1.01^10)</f>
        <v>183549.53546895285</v>
      </c>
      <c r="J4125" t="s">
        <v>12831</v>
      </c>
      <c r="K4125">
        <f t="shared" si="64"/>
        <v>225.28325924388199</v>
      </c>
    </row>
    <row r="4126" spans="1:11" x14ac:dyDescent="0.2">
      <c r="A4126" t="s">
        <v>313</v>
      </c>
      <c r="B4126" t="s">
        <v>648</v>
      </c>
      <c r="C4126" t="s">
        <v>12832</v>
      </c>
      <c r="D4126" t="s">
        <v>12833</v>
      </c>
      <c r="E4126" t="s">
        <v>172</v>
      </c>
      <c r="F4126" t="s">
        <v>411</v>
      </c>
      <c r="G4126" t="s">
        <v>24</v>
      </c>
      <c r="H4126">
        <f>27526*(1.01^10)</f>
        <v>30405.828624068821</v>
      </c>
      <c r="I4126">
        <f>107937*(1.01^10)</f>
        <v>119229.5983505092</v>
      </c>
      <c r="J4126" t="s">
        <v>12834</v>
      </c>
      <c r="K4126">
        <f t="shared" si="64"/>
        <v>179.74401632748285</v>
      </c>
    </row>
    <row r="4127" spans="1:11" x14ac:dyDescent="0.2">
      <c r="A4127" t="s">
        <v>313</v>
      </c>
      <c r="B4127" t="s">
        <v>648</v>
      </c>
      <c r="C4127" t="s">
        <v>12835</v>
      </c>
      <c r="D4127" t="s">
        <v>12836</v>
      </c>
      <c r="E4127" t="s">
        <v>172</v>
      </c>
      <c r="F4127" t="s">
        <v>1340</v>
      </c>
      <c r="G4127" t="s">
        <v>24</v>
      </c>
      <c r="H4127">
        <f>27720*(1.01^10)</f>
        <v>30620.125316398597</v>
      </c>
      <c r="I4127">
        <f>110440*(1.01^10)</f>
        <v>121994.46753041346</v>
      </c>
      <c r="J4127" t="s">
        <v>12837</v>
      </c>
      <c r="K4127">
        <f t="shared" si="64"/>
        <v>154.02175028459141</v>
      </c>
    </row>
    <row r="4128" spans="1:11" x14ac:dyDescent="0.2">
      <c r="A4128" t="s">
        <v>313</v>
      </c>
      <c r="B4128" t="s">
        <v>648</v>
      </c>
      <c r="C4128" t="s">
        <v>12838</v>
      </c>
      <c r="D4128" t="s">
        <v>12839</v>
      </c>
      <c r="E4128" t="s">
        <v>1960</v>
      </c>
      <c r="F4128" t="s">
        <v>16</v>
      </c>
      <c r="G4128" t="s">
        <v>17</v>
      </c>
      <c r="H4128">
        <f>38464*(1.01^10)</f>
        <v>42488.185431816579</v>
      </c>
      <c r="I4128">
        <f>158751*(1.01^10)</f>
        <v>175359.86703115416</v>
      </c>
      <c r="J4128" t="s">
        <v>12840</v>
      </c>
      <c r="K4128">
        <f t="shared" si="64"/>
        <v>150.51444722733757</v>
      </c>
    </row>
    <row r="4129" spans="1:11" x14ac:dyDescent="0.2">
      <c r="A4129" t="s">
        <v>313</v>
      </c>
      <c r="B4129" t="s">
        <v>648</v>
      </c>
      <c r="C4129" t="s">
        <v>12841</v>
      </c>
      <c r="D4129" t="s">
        <v>7074</v>
      </c>
      <c r="E4129" t="s">
        <v>1101</v>
      </c>
      <c r="F4129" t="s">
        <v>152</v>
      </c>
      <c r="G4129" t="s">
        <v>152</v>
      </c>
      <c r="H4129">
        <f>113429*(1.01^10)</f>
        <v>125296.18306326754</v>
      </c>
      <c r="I4129">
        <f>481758*(1.01^10)</f>
        <v>532160.5458938512</v>
      </c>
      <c r="J4129" t="s">
        <v>12842</v>
      </c>
      <c r="K4129">
        <f t="shared" si="64"/>
        <v>451.09437564643105</v>
      </c>
    </row>
    <row r="4130" spans="1:11" x14ac:dyDescent="0.2">
      <c r="A4130" t="s">
        <v>313</v>
      </c>
      <c r="B4130" t="s">
        <v>648</v>
      </c>
      <c r="C4130" t="s">
        <v>12843</v>
      </c>
      <c r="D4130" t="s">
        <v>12844</v>
      </c>
      <c r="E4130" t="s">
        <v>410</v>
      </c>
      <c r="F4130" t="s">
        <v>427</v>
      </c>
      <c r="G4130" t="s">
        <v>12</v>
      </c>
      <c r="H4130">
        <f>28601*(1.01^10)</f>
        <v>31593.297408885868</v>
      </c>
      <c r="I4130">
        <f>114611*(1.01^10)</f>
        <v>126601.84641550359</v>
      </c>
      <c r="J4130" t="s">
        <v>12845</v>
      </c>
      <c r="K4130">
        <f t="shared" si="64"/>
        <v>253.45207586535523</v>
      </c>
    </row>
    <row r="4131" spans="1:11" x14ac:dyDescent="0.2">
      <c r="A4131" t="s">
        <v>313</v>
      </c>
      <c r="B4131" t="s">
        <v>648</v>
      </c>
      <c r="C4131" t="s">
        <v>12846</v>
      </c>
      <c r="D4131" t="s">
        <v>12847</v>
      </c>
      <c r="E4131" t="s">
        <v>837</v>
      </c>
      <c r="F4131" t="s">
        <v>458</v>
      </c>
      <c r="G4131" t="s">
        <v>24</v>
      </c>
      <c r="H4131">
        <f>13329*(1.01^10)</f>
        <v>14723.508309605948</v>
      </c>
      <c r="I4131">
        <f>50781*(1.01^10)</f>
        <v>56093.816150506391</v>
      </c>
      <c r="J4131" t="s">
        <v>12848</v>
      </c>
      <c r="K4131">
        <f t="shared" si="64"/>
        <v>141.00655124432868</v>
      </c>
    </row>
    <row r="4132" spans="1:11" x14ac:dyDescent="0.2">
      <c r="A4132" t="s">
        <v>313</v>
      </c>
      <c r="B4132" t="s">
        <v>648</v>
      </c>
      <c r="C4132" t="s">
        <v>12849</v>
      </c>
      <c r="D4132" t="s">
        <v>12850</v>
      </c>
      <c r="E4132" t="s">
        <v>56</v>
      </c>
      <c r="F4132" t="s">
        <v>11</v>
      </c>
      <c r="G4132" t="s">
        <v>11</v>
      </c>
      <c r="H4132">
        <f>30427*(1.01^10)</f>
        <v>33610.337409886728</v>
      </c>
      <c r="I4132">
        <f>134540*(1.01^10)</f>
        <v>148615.8607528235</v>
      </c>
      <c r="J4132" t="s">
        <v>12851</v>
      </c>
      <c r="K4132">
        <f t="shared" si="64"/>
        <v>570.41475686199237</v>
      </c>
    </row>
    <row r="4133" spans="1:11" x14ac:dyDescent="0.2">
      <c r="A4133" t="s">
        <v>313</v>
      </c>
      <c r="B4133" t="s">
        <v>648</v>
      </c>
      <c r="C4133" t="s">
        <v>12852</v>
      </c>
      <c r="D4133" t="s">
        <v>12853</v>
      </c>
      <c r="E4133" t="s">
        <v>148</v>
      </c>
      <c r="F4133" t="s">
        <v>382</v>
      </c>
      <c r="G4133" t="s">
        <v>11</v>
      </c>
      <c r="H4133">
        <f>30011*(1.01^10)</f>
        <v>33150.814605715663</v>
      </c>
      <c r="I4133">
        <f>125317*(1.01^10)</f>
        <v>138427.93089015596</v>
      </c>
      <c r="J4133" t="s">
        <v>12854</v>
      </c>
      <c r="K4133">
        <f t="shared" si="64"/>
        <v>247.02951780101711</v>
      </c>
    </row>
    <row r="4134" spans="1:11" x14ac:dyDescent="0.2">
      <c r="A4134" t="s">
        <v>313</v>
      </c>
      <c r="B4134" t="s">
        <v>648</v>
      </c>
      <c r="C4134" t="s">
        <v>12855</v>
      </c>
      <c r="D4134" t="s">
        <v>12856</v>
      </c>
      <c r="E4134" t="s">
        <v>1101</v>
      </c>
      <c r="F4134" t="s">
        <v>24</v>
      </c>
      <c r="G4134" t="s">
        <v>24</v>
      </c>
      <c r="H4134">
        <f>13656*(1.01^10)</f>
        <v>15084.719744615411</v>
      </c>
      <c r="I4134">
        <f>61820*(1.01^10)</f>
        <v>68287.739792920678</v>
      </c>
      <c r="J4134" t="s">
        <v>12857</v>
      </c>
      <c r="K4134">
        <f t="shared" si="64"/>
        <v>122.12776498778625</v>
      </c>
    </row>
    <row r="4135" spans="1:11" x14ac:dyDescent="0.2">
      <c r="A4135" t="s">
        <v>313</v>
      </c>
      <c r="B4135" t="s">
        <v>648</v>
      </c>
      <c r="C4135" t="s">
        <v>12858</v>
      </c>
      <c r="D4135" t="s">
        <v>12859</v>
      </c>
      <c r="E4135" t="s">
        <v>32</v>
      </c>
      <c r="F4135" t="s">
        <v>382</v>
      </c>
      <c r="G4135" t="s">
        <v>11</v>
      </c>
      <c r="H4135">
        <f>33018*(1.01^10)</f>
        <v>36472.413336827158</v>
      </c>
      <c r="I4135">
        <f>138408*(1.01^10)</f>
        <v>152888.53913391402</v>
      </c>
      <c r="J4135" t="s">
        <v>12860</v>
      </c>
      <c r="K4135">
        <f t="shared" si="64"/>
        <v>170.84045404495825</v>
      </c>
    </row>
    <row r="4136" spans="1:11" x14ac:dyDescent="0.2">
      <c r="A4136" t="s">
        <v>313</v>
      </c>
      <c r="B4136" t="s">
        <v>648</v>
      </c>
      <c r="C4136" t="s">
        <v>12861</v>
      </c>
      <c r="D4136" t="s">
        <v>12862</v>
      </c>
      <c r="E4136" t="s">
        <v>337</v>
      </c>
      <c r="F4136" t="s">
        <v>744</v>
      </c>
      <c r="G4136" t="s">
        <v>12</v>
      </c>
      <c r="H4136">
        <f>21031*(1.01^10)</f>
        <v>23231.307919523046</v>
      </c>
      <c r="I4136">
        <f>79672*(1.01^10)</f>
        <v>88007.453975761498</v>
      </c>
      <c r="J4136" t="s">
        <v>12863</v>
      </c>
      <c r="K4136">
        <f t="shared" si="64"/>
        <v>117.41372019980189</v>
      </c>
    </row>
    <row r="4137" spans="1:11" x14ac:dyDescent="0.2">
      <c r="A4137" t="s">
        <v>313</v>
      </c>
      <c r="B4137" t="s">
        <v>2164</v>
      </c>
      <c r="C4137" t="s">
        <v>12864</v>
      </c>
      <c r="D4137" t="s">
        <v>12865</v>
      </c>
      <c r="E4137" t="s">
        <v>337</v>
      </c>
      <c r="F4137" t="s">
        <v>56</v>
      </c>
      <c r="G4137" t="s">
        <v>12</v>
      </c>
      <c r="H4137">
        <f>29568*(1.01^10)</f>
        <v>32661.467004158501</v>
      </c>
      <c r="I4137">
        <f>120232*(1.01^10)</f>
        <v>132810.92738243996</v>
      </c>
      <c r="J4137" t="s">
        <v>12866</v>
      </c>
      <c r="K4137">
        <f t="shared" si="64"/>
        <v>189.9225319716283</v>
      </c>
    </row>
    <row r="4138" spans="1:11" x14ac:dyDescent="0.2">
      <c r="A4138" t="s">
        <v>313</v>
      </c>
      <c r="B4138" t="s">
        <v>2164</v>
      </c>
      <c r="C4138" t="s">
        <v>12867</v>
      </c>
      <c r="D4138" t="s">
        <v>12868</v>
      </c>
      <c r="E4138" t="s">
        <v>1617</v>
      </c>
      <c r="F4138" t="s">
        <v>520</v>
      </c>
      <c r="G4138" t="s">
        <v>24</v>
      </c>
      <c r="H4138">
        <f>22445*(1.01^10)</f>
        <v>24793.243604854491</v>
      </c>
      <c r="I4138">
        <f>88173*(1.01^10)</f>
        <v>97397.846663882156</v>
      </c>
      <c r="J4138" t="s">
        <v>12869</v>
      </c>
      <c r="K4138">
        <f t="shared" si="64"/>
        <v>170.62496130876468</v>
      </c>
    </row>
    <row r="4139" spans="1:11" x14ac:dyDescent="0.2">
      <c r="A4139" t="s">
        <v>313</v>
      </c>
      <c r="B4139" t="s">
        <v>2164</v>
      </c>
      <c r="C4139" t="s">
        <v>12870</v>
      </c>
      <c r="D4139" t="s">
        <v>12871</v>
      </c>
      <c r="E4139" t="s">
        <v>282</v>
      </c>
      <c r="F4139" t="s">
        <v>411</v>
      </c>
      <c r="G4139" t="s">
        <v>24</v>
      </c>
      <c r="H4139">
        <f>25363*(1.01^10)</f>
        <v>28016.530966804385</v>
      </c>
      <c r="I4139">
        <f>103024*(1.01^10)</f>
        <v>113802.58984836396</v>
      </c>
      <c r="J4139" t="s">
        <v>12872</v>
      </c>
      <c r="K4139">
        <f t="shared" si="64"/>
        <v>151.01192920430461</v>
      </c>
    </row>
    <row r="4140" spans="1:11" x14ac:dyDescent="0.2">
      <c r="A4140" t="s">
        <v>313</v>
      </c>
      <c r="B4140" t="s">
        <v>2164</v>
      </c>
      <c r="C4140" t="s">
        <v>12873</v>
      </c>
      <c r="D4140" t="s">
        <v>12874</v>
      </c>
      <c r="E4140" t="s">
        <v>1010</v>
      </c>
      <c r="F4140" t="s">
        <v>422</v>
      </c>
      <c r="G4140" t="s">
        <v>6</v>
      </c>
      <c r="H4140">
        <f>90336*(1.01^10)</f>
        <v>99787.144321146596</v>
      </c>
      <c r="I4140">
        <f>382965*(1.01^10)</f>
        <v>423031.61225810205</v>
      </c>
      <c r="J4140" t="s">
        <v>12875</v>
      </c>
      <c r="K4140">
        <f t="shared" si="64"/>
        <v>378.54161611598977</v>
      </c>
    </row>
    <row r="4141" spans="1:11" x14ac:dyDescent="0.2">
      <c r="A4141" t="s">
        <v>313</v>
      </c>
      <c r="B4141" t="s">
        <v>2164</v>
      </c>
      <c r="C4141" t="s">
        <v>12876</v>
      </c>
      <c r="D4141" t="s">
        <v>12877</v>
      </c>
      <c r="E4141" t="s">
        <v>761</v>
      </c>
      <c r="F4141" t="s">
        <v>44</v>
      </c>
      <c r="G4141" t="s">
        <v>17</v>
      </c>
      <c r="H4141">
        <f>44938*(1.01^10)</f>
        <v>49639.509071728717</v>
      </c>
      <c r="I4141">
        <f>191103*(1.01^10)</f>
        <v>211096.60203245745</v>
      </c>
      <c r="J4141" t="s">
        <v>12878</v>
      </c>
      <c r="K4141">
        <f t="shared" si="64"/>
        <v>240.01341871982154</v>
      </c>
    </row>
    <row r="4142" spans="1:11" x14ac:dyDescent="0.2">
      <c r="A4142" t="s">
        <v>313</v>
      </c>
      <c r="B4142" t="s">
        <v>2164</v>
      </c>
      <c r="C4142" t="s">
        <v>12879</v>
      </c>
      <c r="D4142" t="s">
        <v>12880</v>
      </c>
      <c r="E4142" t="s">
        <v>168</v>
      </c>
      <c r="F4142" t="s">
        <v>11</v>
      </c>
      <c r="G4142" t="s">
        <v>12</v>
      </c>
      <c r="H4142">
        <f>33479*(1.01^10)</f>
        <v>36981.64413664172</v>
      </c>
      <c r="I4142">
        <f>154122*(1.01^10)</f>
        <v>170246.57121262568</v>
      </c>
      <c r="J4142" t="s">
        <v>12881</v>
      </c>
      <c r="K4142">
        <f t="shared" si="64"/>
        <v>307.86555129862325</v>
      </c>
    </row>
    <row r="4143" spans="1:11" x14ac:dyDescent="0.2">
      <c r="A4143" t="s">
        <v>313</v>
      </c>
      <c r="B4143" t="s">
        <v>2164</v>
      </c>
      <c r="C4143" t="s">
        <v>12882</v>
      </c>
      <c r="D4143" t="s">
        <v>12883</v>
      </c>
      <c r="E4143" t="s">
        <v>418</v>
      </c>
      <c r="F4143" t="s">
        <v>405</v>
      </c>
      <c r="G4143" t="s">
        <v>17</v>
      </c>
      <c r="H4143">
        <f>72470*(1.01^10)</f>
        <v>80051.965428550015</v>
      </c>
      <c r="I4143">
        <f>341186*(1.01^10)</f>
        <v>376881.60448054731</v>
      </c>
      <c r="J4143" t="s">
        <v>12884</v>
      </c>
      <c r="K4143">
        <f t="shared" si="64"/>
        <v>321.28349557184038</v>
      </c>
    </row>
    <row r="4144" spans="1:11" x14ac:dyDescent="0.2">
      <c r="A4144" t="s">
        <v>313</v>
      </c>
      <c r="B4144" t="s">
        <v>2164</v>
      </c>
      <c r="C4144" t="s">
        <v>12885</v>
      </c>
      <c r="D4144" t="s">
        <v>12886</v>
      </c>
      <c r="E4144" t="s">
        <v>555</v>
      </c>
      <c r="F4144" t="s">
        <v>220</v>
      </c>
      <c r="G4144" t="s">
        <v>12</v>
      </c>
      <c r="H4144">
        <f>55670*(1.01^10)</f>
        <v>61494.313721641767</v>
      </c>
      <c r="I4144">
        <f>259357*(1.01^10)</f>
        <v>286491.48058027384</v>
      </c>
      <c r="J4144" t="s">
        <v>12887</v>
      </c>
      <c r="K4144">
        <f t="shared" si="64"/>
        <v>221.18795017160824</v>
      </c>
    </row>
    <row r="4145" spans="1:11" x14ac:dyDescent="0.2">
      <c r="A4145" t="s">
        <v>313</v>
      </c>
      <c r="B4145" t="s">
        <v>2164</v>
      </c>
      <c r="C4145" t="s">
        <v>12888</v>
      </c>
      <c r="D4145" t="s">
        <v>12889</v>
      </c>
      <c r="E4145" t="s">
        <v>436</v>
      </c>
      <c r="F4145" t="s">
        <v>5</v>
      </c>
      <c r="G4145" t="s">
        <v>24</v>
      </c>
      <c r="H4145">
        <f>43213*(1.01^10)</f>
        <v>47734.03590539439</v>
      </c>
      <c r="I4145">
        <f>190252*(1.01^10)</f>
        <v>210156.56860373254</v>
      </c>
      <c r="J4145" t="s">
        <v>12890</v>
      </c>
      <c r="K4145">
        <f t="shared" si="64"/>
        <v>233.75663886337932</v>
      </c>
    </row>
    <row r="4146" spans="1:11" x14ac:dyDescent="0.2">
      <c r="A4146" t="s">
        <v>313</v>
      </c>
      <c r="B4146" t="s">
        <v>2164</v>
      </c>
      <c r="C4146" t="s">
        <v>12891</v>
      </c>
      <c r="D4146" t="s">
        <v>12892</v>
      </c>
      <c r="E4146" t="s">
        <v>1002</v>
      </c>
      <c r="F4146" t="s">
        <v>158</v>
      </c>
      <c r="G4146" t="s">
        <v>24</v>
      </c>
      <c r="H4146">
        <f>39916*(1.01^10)</f>
        <v>44092.096757913649</v>
      </c>
      <c r="I4146">
        <f>161833*(1.01^10)</f>
        <v>178764.31242167149</v>
      </c>
      <c r="J4146" t="s">
        <v>12893</v>
      </c>
      <c r="K4146">
        <f t="shared" si="64"/>
        <v>210.18484488327181</v>
      </c>
    </row>
    <row r="4147" spans="1:11" x14ac:dyDescent="0.2">
      <c r="A4147" t="s">
        <v>313</v>
      </c>
      <c r="B4147" t="s">
        <v>2164</v>
      </c>
      <c r="C4147" t="s">
        <v>12894</v>
      </c>
      <c r="D4147" t="s">
        <v>12895</v>
      </c>
      <c r="E4147" t="s">
        <v>1002</v>
      </c>
      <c r="F4147" t="s">
        <v>274</v>
      </c>
      <c r="G4147" t="s">
        <v>12</v>
      </c>
      <c r="H4147">
        <f>33590*(1.01^10)</f>
        <v>37104.257192562371</v>
      </c>
      <c r="I4147">
        <f>138587*(1.01^10)</f>
        <v>153086.26649436264</v>
      </c>
      <c r="J4147" t="s">
        <v>12896</v>
      </c>
      <c r="K4147">
        <f t="shared" si="64"/>
        <v>160.39044747224884</v>
      </c>
    </row>
    <row r="4148" spans="1:11" x14ac:dyDescent="0.2">
      <c r="A4148" t="s">
        <v>313</v>
      </c>
      <c r="B4148" t="s">
        <v>2164</v>
      </c>
      <c r="C4148" t="s">
        <v>12897</v>
      </c>
      <c r="D4148" t="s">
        <v>12898</v>
      </c>
      <c r="E4148" t="s">
        <v>1010</v>
      </c>
      <c r="F4148" t="s">
        <v>274</v>
      </c>
      <c r="G4148" t="s">
        <v>12</v>
      </c>
      <c r="H4148">
        <f>37358*(1.01^10)</f>
        <v>41266.473361111784</v>
      </c>
      <c r="I4148">
        <f>156783*(1.01^10)</f>
        <v>173185.97068834491</v>
      </c>
      <c r="J4148" t="s">
        <v>12899</v>
      </c>
      <c r="K4148">
        <f t="shared" si="64"/>
        <v>207.2867068287411</v>
      </c>
    </row>
    <row r="4149" spans="1:11" x14ac:dyDescent="0.2">
      <c r="A4149" t="s">
        <v>313</v>
      </c>
      <c r="B4149" t="s">
        <v>2164</v>
      </c>
      <c r="C4149" t="s">
        <v>12900</v>
      </c>
      <c r="D4149" t="s">
        <v>12901</v>
      </c>
      <c r="E4149" t="s">
        <v>1303</v>
      </c>
      <c r="F4149" t="s">
        <v>61</v>
      </c>
      <c r="G4149" t="s">
        <v>24</v>
      </c>
      <c r="H4149">
        <f>28170*(1.01^10)</f>
        <v>31117.205272833638</v>
      </c>
      <c r="I4149">
        <f>112203*(1.01^10)</f>
        <v>123941.91633751341</v>
      </c>
      <c r="J4149" t="s">
        <v>12902</v>
      </c>
      <c r="K4149">
        <f t="shared" si="64"/>
        <v>162.71749551990732</v>
      </c>
    </row>
    <row r="4150" spans="1:11" x14ac:dyDescent="0.2">
      <c r="A4150" t="s">
        <v>313</v>
      </c>
      <c r="B4150" t="s">
        <v>2164</v>
      </c>
      <c r="C4150" t="s">
        <v>12903</v>
      </c>
      <c r="D4150" t="s">
        <v>12904</v>
      </c>
      <c r="E4150" t="s">
        <v>36</v>
      </c>
      <c r="F4150" t="s">
        <v>422</v>
      </c>
      <c r="G4150" t="s">
        <v>24</v>
      </c>
      <c r="H4150">
        <f>19776*(1.01^10)</f>
        <v>21845.007152131984</v>
      </c>
      <c r="I4150">
        <f>78713*(1.01^10)</f>
        <v>86948.121357492157</v>
      </c>
      <c r="J4150" t="s">
        <v>12905</v>
      </c>
      <c r="K4150">
        <f t="shared" si="64"/>
        <v>143.20462704639991</v>
      </c>
    </row>
    <row r="4151" spans="1:11" x14ac:dyDescent="0.2">
      <c r="A4151" t="s">
        <v>313</v>
      </c>
      <c r="B4151" t="s">
        <v>2164</v>
      </c>
      <c r="C4151" t="s">
        <v>12906</v>
      </c>
      <c r="D4151" t="s">
        <v>12907</v>
      </c>
      <c r="E4151" t="s">
        <v>40</v>
      </c>
      <c r="F4151" t="s">
        <v>726</v>
      </c>
      <c r="G4151" t="s">
        <v>24</v>
      </c>
      <c r="H4151">
        <f>19969*(1.01^10)</f>
        <v>22058.199222336349</v>
      </c>
      <c r="I4151">
        <f>80147*(1.01^10)</f>
        <v>88532.149485331829</v>
      </c>
      <c r="J4151" t="s">
        <v>12908</v>
      </c>
      <c r="K4151">
        <f t="shared" si="64"/>
        <v>125.64345753846959</v>
      </c>
    </row>
    <row r="4152" spans="1:11" x14ac:dyDescent="0.2">
      <c r="A4152" t="s">
        <v>313</v>
      </c>
      <c r="B4152" t="s">
        <v>2164</v>
      </c>
      <c r="C4152" t="s">
        <v>12909</v>
      </c>
      <c r="D4152" t="s">
        <v>12910</v>
      </c>
      <c r="E4152" t="s">
        <v>759</v>
      </c>
      <c r="F4152" t="s">
        <v>422</v>
      </c>
      <c r="G4152" t="s">
        <v>17</v>
      </c>
      <c r="H4152">
        <f>50625*(1.01^10)</f>
        <v>55921.495098942243</v>
      </c>
      <c r="I4152">
        <f>213668*(1.01^10)</f>
        <v>236022.4002923613</v>
      </c>
      <c r="J4152" t="s">
        <v>12911</v>
      </c>
      <c r="K4152">
        <f t="shared" si="64"/>
        <v>254.61983288638268</v>
      </c>
    </row>
    <row r="4153" spans="1:11" x14ac:dyDescent="0.2">
      <c r="A4153" t="s">
        <v>313</v>
      </c>
      <c r="B4153" t="s">
        <v>2027</v>
      </c>
      <c r="C4153" t="s">
        <v>12912</v>
      </c>
      <c r="D4153" t="s">
        <v>12913</v>
      </c>
      <c r="E4153" t="s">
        <v>337</v>
      </c>
      <c r="F4153" t="s">
        <v>92</v>
      </c>
      <c r="G4153" t="s">
        <v>24</v>
      </c>
      <c r="H4153">
        <f>22127*(1.01^10)</f>
        <v>24441.973768973727</v>
      </c>
      <c r="I4153">
        <f>99940*(1.01^10)</f>
        <v>110395.9352135958</v>
      </c>
      <c r="J4153" t="s">
        <v>12914</v>
      </c>
      <c r="K4153">
        <f t="shared" si="64"/>
        <v>212.55330435056376</v>
      </c>
    </row>
    <row r="4154" spans="1:11" x14ac:dyDescent="0.2">
      <c r="A4154" t="s">
        <v>313</v>
      </c>
      <c r="B4154" t="s">
        <v>2027</v>
      </c>
      <c r="C4154" t="s">
        <v>12915</v>
      </c>
      <c r="D4154" t="s">
        <v>12916</v>
      </c>
      <c r="E4154" t="s">
        <v>631</v>
      </c>
      <c r="F4154" t="s">
        <v>108</v>
      </c>
      <c r="G4154" t="s">
        <v>17</v>
      </c>
      <c r="H4154">
        <f>52223*(1.01^10)</f>
        <v>57686.681255349344</v>
      </c>
      <c r="I4154">
        <f>247786*(1.01^10)</f>
        <v>273709.89796714077</v>
      </c>
      <c r="J4154" t="s">
        <v>12917</v>
      </c>
      <c r="K4154">
        <f t="shared" si="64"/>
        <v>178.6758087886393</v>
      </c>
    </row>
    <row r="4155" spans="1:11" x14ac:dyDescent="0.2">
      <c r="A4155" t="s">
        <v>313</v>
      </c>
      <c r="B4155" t="s">
        <v>2027</v>
      </c>
      <c r="C4155" t="s">
        <v>12918</v>
      </c>
      <c r="D4155" t="s">
        <v>12919</v>
      </c>
      <c r="E4155" t="s">
        <v>535</v>
      </c>
      <c r="F4155" t="s">
        <v>11</v>
      </c>
      <c r="G4155" t="s">
        <v>24</v>
      </c>
      <c r="H4155">
        <f>22669*(1.01^10)</f>
        <v>25040.6789609466</v>
      </c>
      <c r="I4155">
        <f>109727*(1.01^10)</f>
        <v>121206.87195499527</v>
      </c>
      <c r="J4155" t="s">
        <v>12920</v>
      </c>
      <c r="K4155">
        <f t="shared" si="64"/>
        <v>255.65676430077042</v>
      </c>
    </row>
    <row r="4156" spans="1:11" x14ac:dyDescent="0.2">
      <c r="A4156" t="s">
        <v>313</v>
      </c>
      <c r="B4156" t="s">
        <v>2027</v>
      </c>
      <c r="C4156" t="s">
        <v>12921</v>
      </c>
      <c r="D4156" t="s">
        <v>12922</v>
      </c>
      <c r="E4156" t="s">
        <v>1446</v>
      </c>
      <c r="F4156" t="s">
        <v>158</v>
      </c>
      <c r="G4156" t="s">
        <v>12</v>
      </c>
      <c r="H4156">
        <f>52908*(1.01^10)</f>
        <v>58443.347411256022</v>
      </c>
      <c r="I4156">
        <f>259986*(1.01^10)</f>
        <v>287186.28789715748</v>
      </c>
      <c r="J4156" t="s">
        <v>12923</v>
      </c>
      <c r="K4156">
        <f t="shared" si="64"/>
        <v>272.16805464201127</v>
      </c>
    </row>
    <row r="4157" spans="1:11" x14ac:dyDescent="0.2">
      <c r="A4157" t="s">
        <v>313</v>
      </c>
      <c r="B4157" t="s">
        <v>2027</v>
      </c>
      <c r="C4157" t="s">
        <v>12924</v>
      </c>
      <c r="D4157" t="s">
        <v>12925</v>
      </c>
      <c r="E4157" t="s">
        <v>126</v>
      </c>
      <c r="F4157" t="s">
        <v>5</v>
      </c>
      <c r="G4157" t="s">
        <v>24</v>
      </c>
      <c r="H4157">
        <f>19779*(1.01^10)</f>
        <v>21848.321018508217</v>
      </c>
      <c r="I4157">
        <f>109332*(1.01^10)</f>
        <v>120770.54621545784</v>
      </c>
      <c r="J4157" t="s">
        <v>12926</v>
      </c>
      <c r="K4157">
        <f t="shared" si="64"/>
        <v>401.69814141180188</v>
      </c>
    </row>
    <row r="4158" spans="1:11" x14ac:dyDescent="0.2">
      <c r="A4158" t="s">
        <v>313</v>
      </c>
      <c r="B4158" t="s">
        <v>2027</v>
      </c>
      <c r="C4158" t="s">
        <v>12927</v>
      </c>
      <c r="D4158" t="s">
        <v>12928</v>
      </c>
      <c r="E4158" t="s">
        <v>1101</v>
      </c>
      <c r="F4158" t="s">
        <v>17</v>
      </c>
      <c r="G4158" t="s">
        <v>5</v>
      </c>
      <c r="H4158">
        <f>134237*(1.01^10)</f>
        <v>148281.1602488239</v>
      </c>
      <c r="I4158">
        <f>719188*(1.01^10)</f>
        <v>794430.97713023354</v>
      </c>
      <c r="J4158" t="s">
        <v>12929</v>
      </c>
      <c r="K4158">
        <f t="shared" si="64"/>
        <v>1971.733084634865</v>
      </c>
    </row>
    <row r="4159" spans="1:11" x14ac:dyDescent="0.2">
      <c r="A4159" t="s">
        <v>313</v>
      </c>
      <c r="B4159" t="s">
        <v>2027</v>
      </c>
      <c r="C4159" t="s">
        <v>12930</v>
      </c>
      <c r="D4159" t="s">
        <v>12931</v>
      </c>
      <c r="E4159" t="s">
        <v>91</v>
      </c>
      <c r="F4159" t="s">
        <v>17</v>
      </c>
      <c r="G4159" t="s">
        <v>12</v>
      </c>
      <c r="H4159">
        <f>21010*(1.01^10)</f>
        <v>23208.110854889412</v>
      </c>
      <c r="I4159">
        <f>115696*(1.01^10)</f>
        <v>127800.36142157475</v>
      </c>
      <c r="J4159" t="s">
        <v>12932</v>
      </c>
      <c r="K4159">
        <f t="shared" si="64"/>
        <v>380.39218210427936</v>
      </c>
    </row>
    <row r="4160" spans="1:11" x14ac:dyDescent="0.2">
      <c r="A4160" t="s">
        <v>313</v>
      </c>
      <c r="B4160" t="s">
        <v>2027</v>
      </c>
      <c r="C4160" t="s">
        <v>12933</v>
      </c>
      <c r="D4160" t="s">
        <v>12934</v>
      </c>
      <c r="E4160" t="s">
        <v>410</v>
      </c>
      <c r="F4160" t="s">
        <v>17</v>
      </c>
      <c r="G4160" t="s">
        <v>12</v>
      </c>
      <c r="H4160">
        <f>27561*(1.01^10)</f>
        <v>30444.490398458212</v>
      </c>
      <c r="I4160">
        <f>138313*(1.01^10)</f>
        <v>152783.60003199996</v>
      </c>
      <c r="J4160" t="s">
        <v>12935</v>
      </c>
      <c r="K4160">
        <f t="shared" si="64"/>
        <v>215.76861702890869</v>
      </c>
    </row>
    <row r="4161" spans="1:11" x14ac:dyDescent="0.2">
      <c r="A4161" t="s">
        <v>313</v>
      </c>
      <c r="B4161" t="s">
        <v>2027</v>
      </c>
      <c r="C4161" t="s">
        <v>12936</v>
      </c>
      <c r="D4161" t="s">
        <v>12937</v>
      </c>
      <c r="E4161" t="s">
        <v>137</v>
      </c>
      <c r="F4161" t="s">
        <v>12</v>
      </c>
      <c r="G4161" t="s">
        <v>12</v>
      </c>
      <c r="H4161">
        <f>19580*(1.01^10)</f>
        <v>21628.50121555139</v>
      </c>
      <c r="I4161">
        <f>99019*(1.01^10)</f>
        <v>109378.57823609209</v>
      </c>
      <c r="J4161" t="s">
        <v>12938</v>
      </c>
      <c r="K4161">
        <f t="shared" si="64"/>
        <v>293.20871283533154</v>
      </c>
    </row>
    <row r="4162" spans="1:11" x14ac:dyDescent="0.2">
      <c r="A4162" t="s">
        <v>313</v>
      </c>
      <c r="B4162" t="s">
        <v>2027</v>
      </c>
      <c r="C4162" t="s">
        <v>12939</v>
      </c>
      <c r="D4162" t="s">
        <v>12940</v>
      </c>
      <c r="E4162" t="s">
        <v>91</v>
      </c>
      <c r="F4162" t="s">
        <v>11</v>
      </c>
      <c r="G4162" t="s">
        <v>12</v>
      </c>
      <c r="H4162">
        <f>19104*(1.01^10)</f>
        <v>21102.701083855656</v>
      </c>
      <c r="I4162">
        <f>96776*(1.01^10)</f>
        <v>106900.91080879475</v>
      </c>
      <c r="J4162" t="s">
        <v>12941</v>
      </c>
      <c r="K4162">
        <f t="shared" si="64"/>
        <v>315.25822291661433</v>
      </c>
    </row>
    <row r="4163" spans="1:11" x14ac:dyDescent="0.2">
      <c r="A4163" t="s">
        <v>313</v>
      </c>
      <c r="B4163" t="s">
        <v>2027</v>
      </c>
      <c r="C4163" t="s">
        <v>12942</v>
      </c>
      <c r="D4163" t="s">
        <v>12943</v>
      </c>
      <c r="E4163" t="s">
        <v>1101</v>
      </c>
      <c r="F4163" t="s">
        <v>158</v>
      </c>
      <c r="G4163" t="s">
        <v>17</v>
      </c>
      <c r="H4163">
        <f>34675*(1.01^10)</f>
        <v>38302.772198633524</v>
      </c>
      <c r="I4163">
        <f>170159*(1.01^10)</f>
        <v>187961.39623784518</v>
      </c>
      <c r="J4163" t="s">
        <v>12944</v>
      </c>
      <c r="K4163">
        <f t="shared" ref="K4163:K4226" si="65">I4163/J4163</f>
        <v>318.31427498830664</v>
      </c>
    </row>
    <row r="4164" spans="1:11" x14ac:dyDescent="0.2">
      <c r="A4164" t="s">
        <v>313</v>
      </c>
      <c r="B4164" t="s">
        <v>2027</v>
      </c>
      <c r="C4164" t="s">
        <v>12945</v>
      </c>
      <c r="D4164" t="s">
        <v>12946</v>
      </c>
      <c r="E4164" t="s">
        <v>324</v>
      </c>
      <c r="F4164" t="s">
        <v>5</v>
      </c>
      <c r="G4164" t="s">
        <v>24</v>
      </c>
      <c r="H4164">
        <f>38969*(1.01^10)</f>
        <v>43046.019605149238</v>
      </c>
      <c r="I4164">
        <f>182868*(1.01^10)</f>
        <v>202000.03882969619</v>
      </c>
      <c r="J4164" t="s">
        <v>12947</v>
      </c>
      <c r="K4164">
        <f t="shared" si="65"/>
        <v>348.89551933553759</v>
      </c>
    </row>
    <row r="4165" spans="1:11" x14ac:dyDescent="0.2">
      <c r="A4165" t="s">
        <v>313</v>
      </c>
      <c r="B4165" t="s">
        <v>2027</v>
      </c>
      <c r="C4165" t="s">
        <v>12948</v>
      </c>
      <c r="D4165" t="s">
        <v>12949</v>
      </c>
      <c r="E4165" t="s">
        <v>404</v>
      </c>
      <c r="F4165" t="s">
        <v>17</v>
      </c>
      <c r="G4165" t="s">
        <v>12</v>
      </c>
      <c r="H4165">
        <f>46933*(1.01^10)</f>
        <v>51843.23021192407</v>
      </c>
      <c r="I4165">
        <f>241885*(1.01^10)</f>
        <v>267191.52280508925</v>
      </c>
      <c r="J4165" t="s">
        <v>12950</v>
      </c>
      <c r="K4165">
        <f t="shared" si="65"/>
        <v>307.69317549557127</v>
      </c>
    </row>
    <row r="4166" spans="1:11" x14ac:dyDescent="0.2">
      <c r="A4166" t="s">
        <v>313</v>
      </c>
      <c r="B4166" t="s">
        <v>2027</v>
      </c>
      <c r="C4166" t="s">
        <v>12951</v>
      </c>
      <c r="D4166" t="s">
        <v>12952</v>
      </c>
      <c r="E4166" t="s">
        <v>1010</v>
      </c>
      <c r="F4166" t="s">
        <v>17</v>
      </c>
      <c r="G4166" t="s">
        <v>12</v>
      </c>
      <c r="H4166">
        <f>48607*(1.01^10)</f>
        <v>53692.367649862426</v>
      </c>
      <c r="I4166">
        <f>248870*(1.01^10)</f>
        <v>274907.30835108651</v>
      </c>
      <c r="J4166" t="s">
        <v>12953</v>
      </c>
      <c r="K4166">
        <f t="shared" si="65"/>
        <v>340.67874730597873</v>
      </c>
    </row>
    <row r="4167" spans="1:11" x14ac:dyDescent="0.2">
      <c r="A4167" t="s">
        <v>313</v>
      </c>
      <c r="B4167" t="s">
        <v>2027</v>
      </c>
      <c r="C4167" t="s">
        <v>12954</v>
      </c>
      <c r="D4167" t="s">
        <v>12955</v>
      </c>
      <c r="E4167" t="s">
        <v>413</v>
      </c>
      <c r="F4167" t="s">
        <v>24</v>
      </c>
      <c r="G4167" t="s">
        <v>12</v>
      </c>
      <c r="H4167">
        <f>58929*(1.01^10)</f>
        <v>65094.277228356885</v>
      </c>
      <c r="I4167">
        <f>293885*(1.01^10)</f>
        <v>324631.87332647189</v>
      </c>
      <c r="J4167" t="s">
        <v>12956</v>
      </c>
      <c r="K4167">
        <f t="shared" si="65"/>
        <v>340.73858630091621</v>
      </c>
    </row>
    <row r="4168" spans="1:11" x14ac:dyDescent="0.2">
      <c r="A4168" t="s">
        <v>313</v>
      </c>
      <c r="B4168" t="s">
        <v>2027</v>
      </c>
      <c r="C4168" t="s">
        <v>12957</v>
      </c>
      <c r="D4168" t="s">
        <v>12958</v>
      </c>
      <c r="E4168" t="s">
        <v>1549</v>
      </c>
      <c r="F4168" t="s">
        <v>744</v>
      </c>
      <c r="G4168" t="s">
        <v>12</v>
      </c>
      <c r="H4168">
        <f>46123*(1.01^10)</f>
        <v>50948.486290340996</v>
      </c>
      <c r="I4168">
        <f>227862*(1.01^10)</f>
        <v>251701.40674044794</v>
      </c>
      <c r="J4168" t="s">
        <v>12959</v>
      </c>
      <c r="K4168">
        <f t="shared" si="65"/>
        <v>364.67365981432886</v>
      </c>
    </row>
    <row r="4169" spans="1:11" x14ac:dyDescent="0.2">
      <c r="A4169" t="s">
        <v>313</v>
      </c>
      <c r="B4169" t="s">
        <v>5085</v>
      </c>
      <c r="C4169" t="s">
        <v>12960</v>
      </c>
      <c r="D4169" t="s">
        <v>12961</v>
      </c>
      <c r="E4169" t="s">
        <v>555</v>
      </c>
      <c r="F4169" t="s">
        <v>92</v>
      </c>
      <c r="G4169" t="s">
        <v>24</v>
      </c>
      <c r="H4169">
        <f>40764*(1.01^10)</f>
        <v>45028.816320262347</v>
      </c>
      <c r="I4169">
        <f>204122*(1.01^10)</f>
        <v>225477.67748318592</v>
      </c>
      <c r="J4169" t="s">
        <v>12962</v>
      </c>
      <c r="K4169">
        <f t="shared" si="65"/>
        <v>197.15963859218971</v>
      </c>
    </row>
    <row r="4170" spans="1:11" x14ac:dyDescent="0.2">
      <c r="A4170" t="s">
        <v>313</v>
      </c>
      <c r="B4170" t="s">
        <v>5085</v>
      </c>
      <c r="C4170" t="s">
        <v>12963</v>
      </c>
      <c r="D4170" t="s">
        <v>12964</v>
      </c>
      <c r="E4170" t="s">
        <v>759</v>
      </c>
      <c r="F4170" t="s">
        <v>458</v>
      </c>
      <c r="G4170" t="s">
        <v>12</v>
      </c>
      <c r="H4170">
        <f>52669*(1.01^10)</f>
        <v>58179.342723282745</v>
      </c>
      <c r="I4170">
        <f>269546*(1.01^10)</f>
        <v>297746.47541608859</v>
      </c>
      <c r="J4170" t="s">
        <v>12965</v>
      </c>
      <c r="K4170">
        <f t="shared" si="65"/>
        <v>306.95829381342963</v>
      </c>
    </row>
    <row r="4171" spans="1:11" x14ac:dyDescent="0.2">
      <c r="A4171" t="s">
        <v>313</v>
      </c>
      <c r="B4171" t="s">
        <v>5085</v>
      </c>
      <c r="C4171" t="s">
        <v>12966</v>
      </c>
      <c r="D4171" t="s">
        <v>12967</v>
      </c>
      <c r="E4171" t="s">
        <v>4</v>
      </c>
      <c r="F4171" t="s">
        <v>5</v>
      </c>
      <c r="G4171" t="s">
        <v>24</v>
      </c>
      <c r="H4171">
        <f>35075*(1.01^10)</f>
        <v>38744.621048798006</v>
      </c>
      <c r="I4171">
        <f>181148*(1.01^10)</f>
        <v>200100.08877398891</v>
      </c>
      <c r="J4171" t="s">
        <v>12968</v>
      </c>
      <c r="K4171">
        <f t="shared" si="65"/>
        <v>241.10187335709679</v>
      </c>
    </row>
    <row r="4172" spans="1:11" x14ac:dyDescent="0.2">
      <c r="A4172" t="s">
        <v>313</v>
      </c>
      <c r="B4172" t="s">
        <v>5085</v>
      </c>
      <c r="C4172" t="s">
        <v>12969</v>
      </c>
      <c r="D4172" t="s">
        <v>12970</v>
      </c>
      <c r="E4172" t="s">
        <v>703</v>
      </c>
      <c r="F4172" t="s">
        <v>744</v>
      </c>
      <c r="G4172" t="s">
        <v>12</v>
      </c>
      <c r="H4172">
        <f>45176*(1.01^10)</f>
        <v>49902.409137576586</v>
      </c>
      <c r="I4172">
        <f>231559*(1.01^10)</f>
        <v>255785.19473809315</v>
      </c>
      <c r="J4172" t="s">
        <v>12971</v>
      </c>
      <c r="K4172">
        <f t="shared" si="65"/>
        <v>264.34194344748835</v>
      </c>
    </row>
    <row r="4173" spans="1:11" x14ac:dyDescent="0.2">
      <c r="A4173" t="s">
        <v>313</v>
      </c>
      <c r="B4173" t="s">
        <v>5085</v>
      </c>
      <c r="C4173" t="s">
        <v>12972</v>
      </c>
      <c r="D4173" t="s">
        <v>12973</v>
      </c>
      <c r="E4173" t="s">
        <v>1282</v>
      </c>
      <c r="F4173" t="s">
        <v>92</v>
      </c>
      <c r="G4173" t="s">
        <v>12</v>
      </c>
      <c r="H4173">
        <f>55184*(1.01^10)</f>
        <v>60957.46736869192</v>
      </c>
      <c r="I4173">
        <f>290970*(1.01^10)</f>
        <v>321411.89983089827</v>
      </c>
      <c r="J4173" t="s">
        <v>12974</v>
      </c>
      <c r="K4173">
        <f t="shared" si="65"/>
        <v>350.95915073093579</v>
      </c>
    </row>
    <row r="4174" spans="1:11" x14ac:dyDescent="0.2">
      <c r="A4174" t="s">
        <v>313</v>
      </c>
      <c r="B4174" t="s">
        <v>935</v>
      </c>
      <c r="C4174" t="s">
        <v>12975</v>
      </c>
      <c r="D4174" t="s">
        <v>12976</v>
      </c>
      <c r="E4174" t="s">
        <v>589</v>
      </c>
      <c r="F4174" t="s">
        <v>12</v>
      </c>
      <c r="G4174" t="s">
        <v>12</v>
      </c>
      <c r="H4174">
        <f>33815*(1.01^10)</f>
        <v>37352.797170779886</v>
      </c>
      <c r="I4174">
        <f>169174*(1.01^10)</f>
        <v>186873.34344431516</v>
      </c>
      <c r="J4174" t="s">
        <v>12977</v>
      </c>
      <c r="K4174">
        <f t="shared" si="65"/>
        <v>274.05203690377505</v>
      </c>
    </row>
    <row r="4175" spans="1:11" x14ac:dyDescent="0.2">
      <c r="A4175" t="s">
        <v>313</v>
      </c>
      <c r="B4175" t="s">
        <v>935</v>
      </c>
      <c r="C4175" t="s">
        <v>12978</v>
      </c>
      <c r="D4175" t="s">
        <v>12979</v>
      </c>
      <c r="E4175" t="s">
        <v>310</v>
      </c>
      <c r="F4175" t="s">
        <v>92</v>
      </c>
      <c r="G4175" t="s">
        <v>12</v>
      </c>
      <c r="H4175">
        <f>55783*(1.01^10)</f>
        <v>61619.136021813232</v>
      </c>
      <c r="I4175">
        <f>282756*(1.01^10)</f>
        <v>312338.53369277064</v>
      </c>
      <c r="J4175" t="s">
        <v>12980</v>
      </c>
      <c r="K4175">
        <f t="shared" si="65"/>
        <v>252.12584047139265</v>
      </c>
    </row>
    <row r="4176" spans="1:11" x14ac:dyDescent="0.2">
      <c r="A4176" t="s">
        <v>313</v>
      </c>
      <c r="B4176" t="s">
        <v>935</v>
      </c>
      <c r="C4176" t="s">
        <v>12981</v>
      </c>
      <c r="D4176" t="s">
        <v>12982</v>
      </c>
      <c r="E4176" t="s">
        <v>555</v>
      </c>
      <c r="F4176" t="s">
        <v>17</v>
      </c>
      <c r="G4176" t="s">
        <v>12</v>
      </c>
      <c r="H4176">
        <f>101500*(1.01^10)</f>
        <v>112119.14572923728</v>
      </c>
      <c r="I4176">
        <f>537810*(1.01^10)</f>
        <v>594076.82526740001</v>
      </c>
      <c r="J4176" t="s">
        <v>12983</v>
      </c>
      <c r="K4176">
        <f t="shared" si="65"/>
        <v>525.08116074544807</v>
      </c>
    </row>
    <row r="4177" spans="1:11" x14ac:dyDescent="0.2">
      <c r="A4177" t="s">
        <v>313</v>
      </c>
      <c r="B4177" t="s">
        <v>935</v>
      </c>
      <c r="C4177" t="s">
        <v>12984</v>
      </c>
      <c r="D4177" t="s">
        <v>12985</v>
      </c>
      <c r="E4177" t="s">
        <v>1580</v>
      </c>
      <c r="F4177" t="s">
        <v>24</v>
      </c>
      <c r="G4177" t="s">
        <v>12</v>
      </c>
      <c r="H4177">
        <f>24350*(1.01^10)</f>
        <v>26897.548753762836</v>
      </c>
      <c r="I4177">
        <f>116817*(1.01^10)</f>
        <v>129038.64282416071</v>
      </c>
      <c r="J4177" t="s">
        <v>12986</v>
      </c>
      <c r="K4177">
        <f t="shared" si="65"/>
        <v>263.87191285460864</v>
      </c>
    </row>
    <row r="4178" spans="1:11" x14ac:dyDescent="0.2">
      <c r="A4178" t="s">
        <v>313</v>
      </c>
      <c r="B4178" t="s">
        <v>935</v>
      </c>
      <c r="C4178" t="s">
        <v>12987</v>
      </c>
      <c r="D4178" t="s">
        <v>12988</v>
      </c>
      <c r="E4178" t="s">
        <v>1027</v>
      </c>
      <c r="F4178" t="s">
        <v>24</v>
      </c>
      <c r="G4178" t="s">
        <v>12</v>
      </c>
      <c r="H4178">
        <f>27910*(1.01^10)</f>
        <v>30830.003520226725</v>
      </c>
      <c r="I4178">
        <f>139046*(1.01^10)</f>
        <v>153593.28804992637</v>
      </c>
      <c r="J4178" t="s">
        <v>12989</v>
      </c>
      <c r="K4178">
        <f t="shared" si="65"/>
        <v>280.89995802762741</v>
      </c>
    </row>
    <row r="4179" spans="1:11" x14ac:dyDescent="0.2">
      <c r="A4179" t="s">
        <v>313</v>
      </c>
      <c r="B4179" t="s">
        <v>935</v>
      </c>
      <c r="C4179" t="s">
        <v>12990</v>
      </c>
      <c r="D4179" t="s">
        <v>12991</v>
      </c>
      <c r="E4179" t="s">
        <v>164</v>
      </c>
      <c r="F4179" t="s">
        <v>24</v>
      </c>
      <c r="G4179" t="s">
        <v>12</v>
      </c>
      <c r="H4179">
        <f>18089*(1.01^10)</f>
        <v>19981.509626563282</v>
      </c>
      <c r="I4179">
        <f>89582*(1.01^10)</f>
        <v>98954.259238586543</v>
      </c>
      <c r="J4179" t="s">
        <v>12992</v>
      </c>
      <c r="K4179">
        <f t="shared" si="65"/>
        <v>261.2446782791767</v>
      </c>
    </row>
    <row r="4180" spans="1:11" x14ac:dyDescent="0.2">
      <c r="A4180" t="s">
        <v>313</v>
      </c>
      <c r="B4180" t="s">
        <v>935</v>
      </c>
      <c r="C4180" t="s">
        <v>12993</v>
      </c>
      <c r="D4180" t="s">
        <v>12994</v>
      </c>
      <c r="E4180" t="s">
        <v>1002</v>
      </c>
      <c r="F4180" t="s">
        <v>12</v>
      </c>
      <c r="G4180" t="s">
        <v>12</v>
      </c>
      <c r="H4180">
        <f>40328*(1.01^10)</f>
        <v>44547.201073583063</v>
      </c>
      <c r="I4180">
        <f>202867*(1.01^10)</f>
        <v>224091.37671579488</v>
      </c>
      <c r="J4180" t="s">
        <v>12995</v>
      </c>
      <c r="K4180">
        <f t="shared" si="65"/>
        <v>358.4085738529123</v>
      </c>
    </row>
    <row r="4181" spans="1:11" x14ac:dyDescent="0.2">
      <c r="A4181" t="s">
        <v>313</v>
      </c>
      <c r="B4181" t="s">
        <v>935</v>
      </c>
      <c r="C4181" t="s">
        <v>12996</v>
      </c>
      <c r="D4181" t="s">
        <v>12997</v>
      </c>
      <c r="E4181" t="s">
        <v>1195</v>
      </c>
      <c r="F4181" t="s">
        <v>12</v>
      </c>
      <c r="G4181" t="s">
        <v>24</v>
      </c>
      <c r="H4181">
        <f>24232*(1.01^10)</f>
        <v>26767.203342964312</v>
      </c>
      <c r="I4181">
        <f>115382*(1.01^10)</f>
        <v>127453.51007419563</v>
      </c>
      <c r="J4181" t="s">
        <v>12998</v>
      </c>
      <c r="K4181">
        <f t="shared" si="65"/>
        <v>249.61028979885944</v>
      </c>
    </row>
    <row r="4182" spans="1:11" x14ac:dyDescent="0.2">
      <c r="A4182" t="s">
        <v>313</v>
      </c>
      <c r="B4182" t="s">
        <v>935</v>
      </c>
      <c r="C4182" t="s">
        <v>12999</v>
      </c>
      <c r="D4182" t="s">
        <v>13000</v>
      </c>
      <c r="E4182" t="s">
        <v>2395</v>
      </c>
      <c r="F4182" t="s">
        <v>11</v>
      </c>
      <c r="G4182" t="s">
        <v>12</v>
      </c>
      <c r="H4182">
        <f>35123*(1.01^10)</f>
        <v>38797.642910817747</v>
      </c>
      <c r="I4182">
        <f>182652*(1.01^10)</f>
        <v>201761.44045060736</v>
      </c>
      <c r="J4182" t="s">
        <v>13001</v>
      </c>
      <c r="K4182">
        <f t="shared" si="65"/>
        <v>329.97209984562488</v>
      </c>
    </row>
    <row r="4183" spans="1:11" x14ac:dyDescent="0.2">
      <c r="A4183" t="s">
        <v>313</v>
      </c>
      <c r="B4183" t="s">
        <v>2044</v>
      </c>
      <c r="C4183" t="s">
        <v>13002</v>
      </c>
      <c r="D4183" t="s">
        <v>13003</v>
      </c>
      <c r="E4183" t="s">
        <v>467</v>
      </c>
      <c r="F4183" t="s">
        <v>12</v>
      </c>
      <c r="G4183" t="s">
        <v>12</v>
      </c>
      <c r="H4183">
        <f>63040*(1.01^10)</f>
        <v>69635.378785922352</v>
      </c>
      <c r="I4183">
        <f>311303*(1.01^10)</f>
        <v>343872.18150688428</v>
      </c>
      <c r="J4183" t="s">
        <v>13004</v>
      </c>
      <c r="K4183">
        <f t="shared" si="65"/>
        <v>292.05566535890699</v>
      </c>
    </row>
    <row r="4184" spans="1:11" x14ac:dyDescent="0.2">
      <c r="A4184" t="s">
        <v>313</v>
      </c>
      <c r="B4184" t="s">
        <v>2044</v>
      </c>
      <c r="C4184" t="s">
        <v>13005</v>
      </c>
      <c r="D4184" t="s">
        <v>13006</v>
      </c>
      <c r="E4184" t="s">
        <v>977</v>
      </c>
      <c r="F4184" t="s">
        <v>12</v>
      </c>
      <c r="G4184" t="s">
        <v>24</v>
      </c>
      <c r="H4184">
        <f>34404*(1.01^10)</f>
        <v>38003.419602647089</v>
      </c>
      <c r="I4184">
        <f>163120*(1.01^10)</f>
        <v>180185.96109707572</v>
      </c>
      <c r="J4184" t="s">
        <v>13007</v>
      </c>
      <c r="K4184">
        <f t="shared" si="65"/>
        <v>248.70388005117422</v>
      </c>
    </row>
    <row r="4185" spans="1:11" x14ac:dyDescent="0.2">
      <c r="A4185" t="s">
        <v>313</v>
      </c>
      <c r="B4185" t="s">
        <v>2044</v>
      </c>
      <c r="C4185" t="s">
        <v>13008</v>
      </c>
      <c r="D4185" t="s">
        <v>13009</v>
      </c>
      <c r="E4185" t="s">
        <v>1282</v>
      </c>
      <c r="F4185" t="s">
        <v>17</v>
      </c>
      <c r="G4185" t="s">
        <v>12</v>
      </c>
      <c r="H4185">
        <f>100394*(1.01^10)</f>
        <v>110897.43365853249</v>
      </c>
      <c r="I4185">
        <f>519018*(1.01^10)</f>
        <v>573318.76628667268</v>
      </c>
      <c r="J4185" t="s">
        <v>13010</v>
      </c>
      <c r="K4185">
        <f t="shared" si="65"/>
        <v>490.66606725719771</v>
      </c>
    </row>
    <row r="4186" spans="1:11" x14ac:dyDescent="0.2">
      <c r="A4186" t="s">
        <v>313</v>
      </c>
      <c r="B4186" t="s">
        <v>2044</v>
      </c>
      <c r="C4186" t="s">
        <v>13011</v>
      </c>
      <c r="D4186" t="s">
        <v>13012</v>
      </c>
      <c r="E4186" t="s">
        <v>1060</v>
      </c>
      <c r="F4186" t="s">
        <v>24</v>
      </c>
      <c r="G4186" t="s">
        <v>24</v>
      </c>
      <c r="H4186">
        <f>30445*(1.01^10)</f>
        <v>33630.220608144125</v>
      </c>
      <c r="I4186">
        <f>153772*(1.01^10)</f>
        <v>169859.95346873178</v>
      </c>
      <c r="J4186" t="s">
        <v>13013</v>
      </c>
      <c r="K4186">
        <f t="shared" si="65"/>
        <v>218.30373538887761</v>
      </c>
    </row>
    <row r="4187" spans="1:11" x14ac:dyDescent="0.2">
      <c r="A4187" t="s">
        <v>313</v>
      </c>
      <c r="B4187" t="s">
        <v>2044</v>
      </c>
      <c r="C4187" t="s">
        <v>13014</v>
      </c>
      <c r="D4187" t="s">
        <v>13015</v>
      </c>
      <c r="E4187" t="s">
        <v>771</v>
      </c>
      <c r="F4187" t="s">
        <v>24</v>
      </c>
      <c r="G4187" t="s">
        <v>12</v>
      </c>
      <c r="H4187">
        <f>51183*(1.01^10)</f>
        <v>56537.874244921695</v>
      </c>
      <c r="I4187">
        <f>255709*(1.01^10)</f>
        <v>282461.81906677375</v>
      </c>
      <c r="J4187" t="s">
        <v>13016</v>
      </c>
      <c r="K4187">
        <f t="shared" si="65"/>
        <v>243.60867197368995</v>
      </c>
    </row>
    <row r="4188" spans="1:11" x14ac:dyDescent="0.2">
      <c r="A4188" t="s">
        <v>313</v>
      </c>
      <c r="B4188" t="s">
        <v>2044</v>
      </c>
      <c r="C4188" t="s">
        <v>13017</v>
      </c>
      <c r="D4188" t="s">
        <v>13018</v>
      </c>
      <c r="E4188" t="s">
        <v>839</v>
      </c>
      <c r="F4188" t="s">
        <v>24</v>
      </c>
      <c r="G4188" t="s">
        <v>24</v>
      </c>
      <c r="H4188">
        <f>42903*(1.01^10)</f>
        <v>47391.603046516917</v>
      </c>
      <c r="I4188">
        <f>211108*(1.01^10)</f>
        <v>233194.56765130861</v>
      </c>
      <c r="J4188" t="s">
        <v>13019</v>
      </c>
      <c r="K4188">
        <f t="shared" si="65"/>
        <v>208.40667743695693</v>
      </c>
    </row>
    <row r="4189" spans="1:11" x14ac:dyDescent="0.2">
      <c r="A4189" t="s">
        <v>313</v>
      </c>
      <c r="B4189" t="s">
        <v>2044</v>
      </c>
      <c r="C4189" t="s">
        <v>13020</v>
      </c>
      <c r="D4189" t="s">
        <v>13021</v>
      </c>
      <c r="E4189" t="s">
        <v>36</v>
      </c>
      <c r="F4189" t="s">
        <v>17</v>
      </c>
      <c r="G4189" t="s">
        <v>12</v>
      </c>
      <c r="H4189">
        <f>34960*(1.01^10)</f>
        <v>38617.589504375719</v>
      </c>
      <c r="I4189">
        <f>177589*(1.01^10)</f>
        <v>196168.73862965044</v>
      </c>
      <c r="J4189" t="s">
        <v>13022</v>
      </c>
      <c r="K4189">
        <f t="shared" si="65"/>
        <v>265.93021083906143</v>
      </c>
    </row>
    <row r="4190" spans="1:11" x14ac:dyDescent="0.2">
      <c r="A4190" t="s">
        <v>313</v>
      </c>
      <c r="B4190" t="s">
        <v>2044</v>
      </c>
      <c r="C4190" t="s">
        <v>13023</v>
      </c>
      <c r="D4190" t="s">
        <v>13024</v>
      </c>
      <c r="E4190" t="s">
        <v>1215</v>
      </c>
      <c r="F4190" t="s">
        <v>11</v>
      </c>
      <c r="G4190" t="s">
        <v>24</v>
      </c>
      <c r="H4190">
        <f>34372*(1.01^10)</f>
        <v>37968.071694633931</v>
      </c>
      <c r="I4190">
        <f>167427*(1.01^10)</f>
        <v>184943.56859122179</v>
      </c>
      <c r="J4190" t="s">
        <v>13025</v>
      </c>
      <c r="K4190">
        <f t="shared" si="65"/>
        <v>224.76522318245785</v>
      </c>
    </row>
    <row r="4191" spans="1:11" x14ac:dyDescent="0.2">
      <c r="A4191" t="s">
        <v>313</v>
      </c>
      <c r="B4191" t="s">
        <v>1167</v>
      </c>
      <c r="C4191" t="s">
        <v>13026</v>
      </c>
      <c r="D4191" t="s">
        <v>13027</v>
      </c>
      <c r="E4191" t="s">
        <v>1955</v>
      </c>
      <c r="F4191" t="s">
        <v>17</v>
      </c>
      <c r="G4191" t="s">
        <v>12</v>
      </c>
      <c r="H4191">
        <f>67387*(1.01^10)</f>
        <v>74437.171165084859</v>
      </c>
      <c r="I4191">
        <f>341019*(1.01^10)</f>
        <v>376697.13258560363</v>
      </c>
      <c r="J4191" t="s">
        <v>13028</v>
      </c>
      <c r="K4191">
        <f t="shared" si="65"/>
        <v>251.00257373588468</v>
      </c>
    </row>
    <row r="4192" spans="1:11" x14ac:dyDescent="0.2">
      <c r="A4192" t="s">
        <v>313</v>
      </c>
      <c r="B4192" t="s">
        <v>1167</v>
      </c>
      <c r="C4192" t="s">
        <v>13029</v>
      </c>
      <c r="D4192" t="s">
        <v>13030</v>
      </c>
      <c r="E4192" t="s">
        <v>394</v>
      </c>
      <c r="F4192" t="s">
        <v>6</v>
      </c>
      <c r="G4192" t="s">
        <v>24</v>
      </c>
      <c r="H4192">
        <f>23566*(1.01^10)</f>
        <v>26031.52500744045</v>
      </c>
      <c r="I4192">
        <f>113087*(1.01^10)</f>
        <v>124918.40229637691</v>
      </c>
      <c r="J4192" t="s">
        <v>13031</v>
      </c>
      <c r="K4192">
        <f t="shared" si="65"/>
        <v>191.08269693819699</v>
      </c>
    </row>
    <row r="4193" spans="1:11" x14ac:dyDescent="0.2">
      <c r="A4193" t="s">
        <v>313</v>
      </c>
      <c r="B4193" t="s">
        <v>1167</v>
      </c>
      <c r="C4193" t="s">
        <v>13032</v>
      </c>
      <c r="D4193" t="s">
        <v>13033</v>
      </c>
      <c r="E4193" t="s">
        <v>766</v>
      </c>
      <c r="F4193" t="s">
        <v>5</v>
      </c>
      <c r="G4193" t="s">
        <v>12</v>
      </c>
      <c r="H4193">
        <f>70518*(1.01^10)</f>
        <v>77895.743039747336</v>
      </c>
      <c r="I4193">
        <f>359963*(1.01^10)</f>
        <v>397623.09412939352</v>
      </c>
      <c r="J4193" t="s">
        <v>13034</v>
      </c>
      <c r="K4193">
        <f t="shared" si="65"/>
        <v>334.25783613355543</v>
      </c>
    </row>
    <row r="4194" spans="1:11" x14ac:dyDescent="0.2">
      <c r="A4194" t="s">
        <v>313</v>
      </c>
      <c r="B4194" t="s">
        <v>1167</v>
      </c>
      <c r="C4194" t="s">
        <v>13035</v>
      </c>
      <c r="D4194" t="s">
        <v>13036</v>
      </c>
      <c r="E4194" t="s">
        <v>287</v>
      </c>
      <c r="F4194" t="s">
        <v>24</v>
      </c>
      <c r="G4194" t="s">
        <v>24</v>
      </c>
      <c r="H4194">
        <f>31550*(1.01^10)</f>
        <v>34850.828056723512</v>
      </c>
      <c r="I4194">
        <f>161012*(1.01^10)</f>
        <v>177857.41765670889</v>
      </c>
      <c r="J4194" t="s">
        <v>13037</v>
      </c>
      <c r="K4194">
        <f t="shared" si="65"/>
        <v>247.44347040361291</v>
      </c>
    </row>
    <row r="4195" spans="1:11" x14ac:dyDescent="0.2">
      <c r="A4195" t="s">
        <v>313</v>
      </c>
      <c r="B4195" t="s">
        <v>1167</v>
      </c>
      <c r="C4195" t="s">
        <v>13038</v>
      </c>
      <c r="D4195" t="s">
        <v>5123</v>
      </c>
      <c r="E4195" t="s">
        <v>407</v>
      </c>
      <c r="F4195" t="s">
        <v>382</v>
      </c>
      <c r="G4195" t="s">
        <v>92</v>
      </c>
      <c r="H4195">
        <f>323473*(1.01^10)</f>
        <v>357315.43277313863</v>
      </c>
      <c r="I4195">
        <f>1590374*(1.01^10)</f>
        <v>1756762.3080787193</v>
      </c>
      <c r="J4195" t="s">
        <v>13039</v>
      </c>
      <c r="K4195">
        <f t="shared" si="65"/>
        <v>1344.7559730543328</v>
      </c>
    </row>
    <row r="4196" spans="1:11" x14ac:dyDescent="0.2">
      <c r="A4196" t="s">
        <v>313</v>
      </c>
      <c r="B4196" t="s">
        <v>1167</v>
      </c>
      <c r="C4196" t="s">
        <v>13040</v>
      </c>
      <c r="D4196" t="s">
        <v>13041</v>
      </c>
      <c r="E4196" t="s">
        <v>542</v>
      </c>
      <c r="F4196" t="s">
        <v>17</v>
      </c>
      <c r="G4196" t="s">
        <v>12</v>
      </c>
      <c r="H4196">
        <f>23027*(1.01^10)</f>
        <v>25436.13368184381</v>
      </c>
      <c r="I4196">
        <f>118328*(1.01^10)</f>
        <v>130707.72685565703</v>
      </c>
      <c r="J4196" t="s">
        <v>13042</v>
      </c>
      <c r="K4196">
        <f t="shared" si="65"/>
        <v>255.34338794595917</v>
      </c>
    </row>
    <row r="4197" spans="1:11" x14ac:dyDescent="0.2">
      <c r="A4197" t="s">
        <v>313</v>
      </c>
      <c r="B4197" t="s">
        <v>1167</v>
      </c>
      <c r="C4197" t="s">
        <v>13043</v>
      </c>
      <c r="D4197" t="s">
        <v>13044</v>
      </c>
      <c r="E4197" t="s">
        <v>2873</v>
      </c>
      <c r="F4197" t="s">
        <v>12</v>
      </c>
      <c r="G4197" t="s">
        <v>12</v>
      </c>
      <c r="H4197">
        <f>64308*(1.01^10)</f>
        <v>71036.039640943753</v>
      </c>
      <c r="I4197">
        <f>311371*(1.01^10)</f>
        <v>343947.29581141222</v>
      </c>
      <c r="J4197" t="s">
        <v>13045</v>
      </c>
      <c r="K4197">
        <f t="shared" si="65"/>
        <v>224.58490859261121</v>
      </c>
    </row>
    <row r="4198" spans="1:11" x14ac:dyDescent="0.2">
      <c r="A4198" t="s">
        <v>313</v>
      </c>
      <c r="B4198" t="s">
        <v>1167</v>
      </c>
      <c r="C4198" t="s">
        <v>13046</v>
      </c>
      <c r="D4198" t="s">
        <v>2121</v>
      </c>
      <c r="E4198" t="s">
        <v>1994</v>
      </c>
      <c r="F4198" t="s">
        <v>744</v>
      </c>
      <c r="G4198" t="s">
        <v>92</v>
      </c>
      <c r="H4198">
        <f>76054*(1.01^10)</f>
        <v>84010.931126023759</v>
      </c>
      <c r="I4198">
        <f>358155*(1.01^10)</f>
        <v>395625.93732665002</v>
      </c>
      <c r="J4198" t="s">
        <v>13047</v>
      </c>
      <c r="K4198">
        <f t="shared" si="65"/>
        <v>304.48222738209637</v>
      </c>
    </row>
    <row r="4199" spans="1:11" x14ac:dyDescent="0.2">
      <c r="A4199" t="s">
        <v>313</v>
      </c>
      <c r="B4199" t="s">
        <v>1167</v>
      </c>
      <c r="C4199" t="s">
        <v>13048</v>
      </c>
      <c r="D4199" t="s">
        <v>13049</v>
      </c>
      <c r="E4199" t="s">
        <v>203</v>
      </c>
      <c r="F4199" t="s">
        <v>92</v>
      </c>
      <c r="G4199" t="s">
        <v>17</v>
      </c>
      <c r="H4199">
        <f>72032*(1.01^10)</f>
        <v>79568.140937619901</v>
      </c>
      <c r="I4199">
        <f>347973*(1.01^10)</f>
        <v>384378.67484571313</v>
      </c>
      <c r="J4199" t="s">
        <v>13050</v>
      </c>
      <c r="K4199">
        <f t="shared" si="65"/>
        <v>269.61454683845596</v>
      </c>
    </row>
    <row r="4200" spans="1:11" x14ac:dyDescent="0.2">
      <c r="A4200" t="s">
        <v>313</v>
      </c>
      <c r="B4200" t="s">
        <v>13051</v>
      </c>
      <c r="C4200" t="s">
        <v>13052</v>
      </c>
      <c r="D4200" t="s">
        <v>13053</v>
      </c>
      <c r="E4200" t="s">
        <v>396</v>
      </c>
      <c r="F4200" t="s">
        <v>24</v>
      </c>
      <c r="G4200" t="s">
        <v>12</v>
      </c>
      <c r="H4200">
        <f>37479*(1.01^10)</f>
        <v>41400.132638286545</v>
      </c>
      <c r="I4200">
        <f>175816*(1.01^10)</f>
        <v>194210.24360129639</v>
      </c>
      <c r="J4200" t="s">
        <v>13054</v>
      </c>
      <c r="K4200">
        <f t="shared" si="65"/>
        <v>236.6541687702387</v>
      </c>
    </row>
    <row r="4201" spans="1:11" x14ac:dyDescent="0.2">
      <c r="A4201" t="s">
        <v>313</v>
      </c>
      <c r="B4201" t="s">
        <v>13051</v>
      </c>
      <c r="C4201" t="s">
        <v>13055</v>
      </c>
      <c r="D4201" t="s">
        <v>13056</v>
      </c>
      <c r="E4201" t="s">
        <v>453</v>
      </c>
      <c r="F4201" t="s">
        <v>24</v>
      </c>
      <c r="G4201" t="s">
        <v>24</v>
      </c>
      <c r="H4201">
        <f>40072*(1.01^10)</f>
        <v>44264.417809477796</v>
      </c>
      <c r="I4201">
        <f>208362*(1.01^10)</f>
        <v>230161.27529492945</v>
      </c>
      <c r="J4201" t="s">
        <v>2944</v>
      </c>
      <c r="K4201">
        <f t="shared" si="65"/>
        <v>266.39036492468688</v>
      </c>
    </row>
    <row r="4202" spans="1:11" x14ac:dyDescent="0.2">
      <c r="A4202" t="s">
        <v>313</v>
      </c>
      <c r="B4202" t="s">
        <v>13051</v>
      </c>
      <c r="C4202" t="s">
        <v>13057</v>
      </c>
      <c r="D4202" t="s">
        <v>13058</v>
      </c>
      <c r="E4202" t="s">
        <v>180</v>
      </c>
      <c r="F4202" t="s">
        <v>24</v>
      </c>
      <c r="G4202" t="s">
        <v>24</v>
      </c>
      <c r="H4202">
        <f>28865*(1.01^10)</f>
        <v>31884.917649994426</v>
      </c>
      <c r="I4202">
        <f>144522*(1.01^10)</f>
        <v>159642.19880867813</v>
      </c>
      <c r="J4202" t="s">
        <v>13059</v>
      </c>
      <c r="K4202">
        <f t="shared" si="65"/>
        <v>291.53067715244362</v>
      </c>
    </row>
    <row r="4203" spans="1:11" x14ac:dyDescent="0.2">
      <c r="A4203" t="s">
        <v>313</v>
      </c>
      <c r="B4203" t="s">
        <v>13051</v>
      </c>
      <c r="C4203" t="s">
        <v>13060</v>
      </c>
      <c r="D4203" t="s">
        <v>13061</v>
      </c>
      <c r="E4203" t="s">
        <v>1115</v>
      </c>
      <c r="F4203" t="s">
        <v>12</v>
      </c>
      <c r="G4203" t="s">
        <v>12</v>
      </c>
      <c r="H4203">
        <f>73372*(1.01^10)</f>
        <v>81048.33458567092</v>
      </c>
      <c r="I4203">
        <f>374435*(1.01^10)</f>
        <v>413609.18552834447</v>
      </c>
      <c r="J4203" t="s">
        <v>13062</v>
      </c>
      <c r="K4203">
        <f t="shared" si="65"/>
        <v>284.58042213316668</v>
      </c>
    </row>
    <row r="4204" spans="1:11" x14ac:dyDescent="0.2">
      <c r="A4204" t="s">
        <v>313</v>
      </c>
      <c r="B4204" t="s">
        <v>13051</v>
      </c>
      <c r="C4204" t="s">
        <v>13063</v>
      </c>
      <c r="D4204" t="s">
        <v>12621</v>
      </c>
      <c r="E4204" t="s">
        <v>320</v>
      </c>
      <c r="F4204" t="s">
        <v>24</v>
      </c>
      <c r="G4204" t="s">
        <v>92</v>
      </c>
      <c r="H4204">
        <f>173933*(1.01^10)</f>
        <v>192130.24013914706</v>
      </c>
      <c r="I4204">
        <f>955594*(1.01^10)</f>
        <v>1055570.2753101948</v>
      </c>
      <c r="J4204" t="s">
        <v>13064</v>
      </c>
      <c r="K4204">
        <f t="shared" si="65"/>
        <v>580.48122308692882</v>
      </c>
    </row>
    <row r="4205" spans="1:11" x14ac:dyDescent="0.2">
      <c r="A4205" t="s">
        <v>313</v>
      </c>
      <c r="B4205" t="s">
        <v>13051</v>
      </c>
      <c r="C4205" t="s">
        <v>13065</v>
      </c>
      <c r="D4205" t="s">
        <v>13066</v>
      </c>
      <c r="E4205" t="s">
        <v>977</v>
      </c>
      <c r="F4205" t="s">
        <v>24</v>
      </c>
      <c r="G4205" t="s">
        <v>17</v>
      </c>
      <c r="H4205">
        <f>56873*(1.01^10)</f>
        <v>62823.174138511451</v>
      </c>
      <c r="I4205">
        <f>288848*(1.01^10)</f>
        <v>319067.89168077568</v>
      </c>
      <c r="J4205" t="s">
        <v>13067</v>
      </c>
      <c r="K4205">
        <f t="shared" si="65"/>
        <v>293.44703137171155</v>
      </c>
    </row>
    <row r="4206" spans="1:11" x14ac:dyDescent="0.2">
      <c r="A4206" t="s">
        <v>313</v>
      </c>
      <c r="B4206" t="s">
        <v>13051</v>
      </c>
      <c r="C4206" t="s">
        <v>13068</v>
      </c>
      <c r="D4206" t="s">
        <v>13069</v>
      </c>
      <c r="E4206" t="s">
        <v>1328</v>
      </c>
      <c r="F4206" t="s">
        <v>24</v>
      </c>
      <c r="G4206" t="s">
        <v>12</v>
      </c>
      <c r="H4206">
        <f>45140*(1.01^10)</f>
        <v>49862.642741061783</v>
      </c>
      <c r="I4206">
        <f>235849*(1.01^10)</f>
        <v>260524.02365610722</v>
      </c>
      <c r="J4206" t="s">
        <v>13070</v>
      </c>
      <c r="K4206">
        <f t="shared" si="65"/>
        <v>273.35532249397437</v>
      </c>
    </row>
    <row r="4207" spans="1:11" x14ac:dyDescent="0.2">
      <c r="A4207" t="s">
        <v>313</v>
      </c>
      <c r="B4207" t="s">
        <v>13051</v>
      </c>
      <c r="C4207" t="s">
        <v>13071</v>
      </c>
      <c r="D4207" t="s">
        <v>13072</v>
      </c>
      <c r="E4207" t="s">
        <v>467</v>
      </c>
      <c r="F4207" t="s">
        <v>12</v>
      </c>
      <c r="G4207" t="s">
        <v>24</v>
      </c>
      <c r="H4207">
        <f>58271*(1.01^10)</f>
        <v>64367.435869836314</v>
      </c>
      <c r="I4207">
        <f>315709*(1.01^10)</f>
        <v>348739.14659144601</v>
      </c>
      <c r="J4207" t="s">
        <v>13073</v>
      </c>
      <c r="K4207">
        <f t="shared" si="65"/>
        <v>264.44674623048041</v>
      </c>
    </row>
    <row r="4208" spans="1:11" x14ac:dyDescent="0.2">
      <c r="A4208" t="s">
        <v>313</v>
      </c>
      <c r="B4208" t="s">
        <v>13051</v>
      </c>
      <c r="C4208" t="s">
        <v>13074</v>
      </c>
      <c r="D4208" t="s">
        <v>13075</v>
      </c>
      <c r="E4208" t="s">
        <v>1352</v>
      </c>
      <c r="F4208" t="s">
        <v>24</v>
      </c>
      <c r="G4208" t="s">
        <v>24</v>
      </c>
      <c r="H4208">
        <f>24119*(1.01^10)</f>
        <v>26642.381042792847</v>
      </c>
      <c r="I4208">
        <f>119838*(1.01^10)</f>
        <v>132375.70626502795</v>
      </c>
      <c r="J4208" t="s">
        <v>13076</v>
      </c>
      <c r="K4208">
        <f t="shared" si="65"/>
        <v>237.81206213176912</v>
      </c>
    </row>
    <row r="4209" spans="1:11" x14ac:dyDescent="0.2">
      <c r="A4209" t="s">
        <v>313</v>
      </c>
      <c r="B4209" t="s">
        <v>13051</v>
      </c>
      <c r="C4209" t="s">
        <v>13077</v>
      </c>
      <c r="D4209" t="s">
        <v>13078</v>
      </c>
      <c r="E4209" t="s">
        <v>1010</v>
      </c>
      <c r="F4209" t="s">
        <v>24</v>
      </c>
      <c r="G4209" t="s">
        <v>12</v>
      </c>
      <c r="H4209">
        <f>30410*(1.01^10)</f>
        <v>33591.558833754738</v>
      </c>
      <c r="I4209">
        <f>168423*(1.01^10)</f>
        <v>186043.77222813133</v>
      </c>
      <c r="J4209" t="s">
        <v>13079</v>
      </c>
      <c r="K4209">
        <f t="shared" si="65"/>
        <v>206.65330648375635</v>
      </c>
    </row>
    <row r="4210" spans="1:11" x14ac:dyDescent="0.2">
      <c r="A4210" t="s">
        <v>313</v>
      </c>
      <c r="B4210" t="s">
        <v>13051</v>
      </c>
      <c r="C4210" t="s">
        <v>13080</v>
      </c>
      <c r="D4210" t="s">
        <v>13081</v>
      </c>
      <c r="E4210" t="s">
        <v>1106</v>
      </c>
      <c r="F4210" t="s">
        <v>24</v>
      </c>
      <c r="G4210" t="s">
        <v>6</v>
      </c>
      <c r="H4210">
        <f>389061*(1.01^10)</f>
        <v>429765.38873460871</v>
      </c>
      <c r="I4210">
        <f>1755491*(1.01^10)</f>
        <v>1939154.1995602413</v>
      </c>
      <c r="J4210" t="s">
        <v>13082</v>
      </c>
      <c r="K4210">
        <f t="shared" si="65"/>
        <v>2175.3541535530294</v>
      </c>
    </row>
    <row r="4211" spans="1:11" x14ac:dyDescent="0.2">
      <c r="A4211" t="s">
        <v>313</v>
      </c>
      <c r="B4211" t="s">
        <v>13051</v>
      </c>
      <c r="C4211" t="s">
        <v>13083</v>
      </c>
      <c r="D4211" t="s">
        <v>13084</v>
      </c>
      <c r="E4211" t="s">
        <v>839</v>
      </c>
      <c r="F4211" t="s">
        <v>24</v>
      </c>
      <c r="G4211" t="s">
        <v>17</v>
      </c>
      <c r="H4211">
        <f>46129*(1.01^10)</f>
        <v>50955.114023093462</v>
      </c>
      <c r="I4211">
        <f>253513*(1.01^10)</f>
        <v>280036.06887937075</v>
      </c>
      <c r="J4211" t="s">
        <v>13085</v>
      </c>
      <c r="K4211">
        <f t="shared" si="65"/>
        <v>322.98313654587588</v>
      </c>
    </row>
    <row r="4212" spans="1:11" x14ac:dyDescent="0.2">
      <c r="A4212" t="s">
        <v>313</v>
      </c>
      <c r="B4212" t="s">
        <v>13051</v>
      </c>
      <c r="C4212" t="s">
        <v>13086</v>
      </c>
      <c r="D4212" t="s">
        <v>13087</v>
      </c>
      <c r="E4212" t="s">
        <v>761</v>
      </c>
      <c r="F4212" t="s">
        <v>12</v>
      </c>
      <c r="G4212" t="s">
        <v>12</v>
      </c>
      <c r="H4212">
        <f>67445*(1.01^10)</f>
        <v>74501.239248358703</v>
      </c>
      <c r="I4212">
        <f>346390*(1.01^10)</f>
        <v>382630.0580211872</v>
      </c>
      <c r="J4212" t="s">
        <v>13088</v>
      </c>
      <c r="K4212">
        <f t="shared" si="65"/>
        <v>284.73947418955879</v>
      </c>
    </row>
    <row r="4213" spans="1:11" x14ac:dyDescent="0.2">
      <c r="A4213" t="s">
        <v>313</v>
      </c>
      <c r="B4213" t="s">
        <v>13051</v>
      </c>
      <c r="C4213" t="s">
        <v>13089</v>
      </c>
      <c r="D4213" t="s">
        <v>13090</v>
      </c>
      <c r="E4213" t="s">
        <v>58</v>
      </c>
      <c r="F4213" t="s">
        <v>24</v>
      </c>
      <c r="G4213" t="s">
        <v>11</v>
      </c>
      <c r="H4213">
        <f>97419*(1.01^10)</f>
        <v>107611.18283543416</v>
      </c>
      <c r="I4213">
        <f>493251*(1.01^10)</f>
        <v>544855.96798120218</v>
      </c>
      <c r="J4213" t="s">
        <v>13091</v>
      </c>
      <c r="K4213">
        <f t="shared" si="65"/>
        <v>519.5883848270621</v>
      </c>
    </row>
    <row r="4214" spans="1:11" x14ac:dyDescent="0.2">
      <c r="A4214" t="s">
        <v>313</v>
      </c>
      <c r="B4214" t="s">
        <v>13051</v>
      </c>
      <c r="C4214" t="s">
        <v>13092</v>
      </c>
      <c r="D4214" t="s">
        <v>13093</v>
      </c>
      <c r="E4214" t="s">
        <v>1912</v>
      </c>
      <c r="F4214" t="s">
        <v>24</v>
      </c>
      <c r="G4214" t="s">
        <v>12</v>
      </c>
      <c r="H4214">
        <f>54299*(1.01^10)</f>
        <v>59979.876787703004</v>
      </c>
      <c r="I4214">
        <f>271146*(1.01^10)</f>
        <v>299513.87081674649</v>
      </c>
      <c r="J4214" t="s">
        <v>13094</v>
      </c>
      <c r="K4214">
        <f t="shared" si="65"/>
        <v>282.82440280709955</v>
      </c>
    </row>
    <row r="4215" spans="1:11" x14ac:dyDescent="0.2">
      <c r="A4215" t="s">
        <v>313</v>
      </c>
      <c r="B4215" t="s">
        <v>3559</v>
      </c>
      <c r="C4215" t="s">
        <v>13095</v>
      </c>
      <c r="D4215" t="s">
        <v>13096</v>
      </c>
      <c r="E4215" t="s">
        <v>333</v>
      </c>
      <c r="F4215" t="s">
        <v>24</v>
      </c>
      <c r="G4215" t="s">
        <v>24</v>
      </c>
      <c r="H4215">
        <f>27942*(1.01^10)</f>
        <v>30865.351428239883</v>
      </c>
      <c r="I4215">
        <f>154818*(1.01^10)</f>
        <v>171015.38821191189</v>
      </c>
      <c r="J4215" t="s">
        <v>13097</v>
      </c>
      <c r="K4215">
        <f t="shared" si="65"/>
        <v>668.99576814893362</v>
      </c>
    </row>
    <row r="4216" spans="1:11" x14ac:dyDescent="0.2">
      <c r="A4216" t="s">
        <v>313</v>
      </c>
      <c r="B4216" t="s">
        <v>3559</v>
      </c>
      <c r="C4216" t="s">
        <v>13098</v>
      </c>
      <c r="D4216" t="s">
        <v>13099</v>
      </c>
      <c r="E4216" t="s">
        <v>407</v>
      </c>
      <c r="F4216" t="s">
        <v>24</v>
      </c>
      <c r="G4216" t="s">
        <v>17</v>
      </c>
      <c r="H4216">
        <f>82139*(1.01^10)</f>
        <v>90732.556759150946</v>
      </c>
      <c r="I4216">
        <f>402095*(1.01^10)</f>
        <v>444163.03351721837</v>
      </c>
      <c r="J4216" t="s">
        <v>13100</v>
      </c>
      <c r="K4216">
        <f t="shared" si="65"/>
        <v>438.51496082183314</v>
      </c>
    </row>
    <row r="4217" spans="1:11" x14ac:dyDescent="0.2">
      <c r="A4217" t="s">
        <v>313</v>
      </c>
      <c r="B4217" t="s">
        <v>3559</v>
      </c>
      <c r="C4217" t="s">
        <v>13101</v>
      </c>
      <c r="D4217" t="s">
        <v>13102</v>
      </c>
      <c r="E4217" t="s">
        <v>589</v>
      </c>
      <c r="F4217" t="s">
        <v>24</v>
      </c>
      <c r="G4217" t="s">
        <v>12</v>
      </c>
      <c r="H4217">
        <f>26845*(1.01^10)</f>
        <v>29653.580956663791</v>
      </c>
      <c r="I4217">
        <f>137625*(1.01^10)</f>
        <v>152023.62000971707</v>
      </c>
      <c r="J4217" t="s">
        <v>13103</v>
      </c>
      <c r="K4217">
        <f t="shared" si="65"/>
        <v>287.7654697414622</v>
      </c>
    </row>
    <row r="4218" spans="1:11" x14ac:dyDescent="0.2">
      <c r="A4218" t="s">
        <v>313</v>
      </c>
      <c r="B4218" t="s">
        <v>3559</v>
      </c>
      <c r="C4218" t="s">
        <v>13104</v>
      </c>
      <c r="D4218" t="s">
        <v>13105</v>
      </c>
      <c r="E4218" t="s">
        <v>1944</v>
      </c>
      <c r="F4218" t="s">
        <v>12</v>
      </c>
      <c r="G4218" t="s">
        <v>12</v>
      </c>
      <c r="H4218">
        <f>29099*(1.01^10)</f>
        <v>32143.399227340647</v>
      </c>
      <c r="I4218">
        <f>140187*(1.01^10)</f>
        <v>154853.66189502057</v>
      </c>
      <c r="J4218" t="s">
        <v>13106</v>
      </c>
      <c r="K4218">
        <f t="shared" si="65"/>
        <v>249.67940196872118</v>
      </c>
    </row>
    <row r="4219" spans="1:11" x14ac:dyDescent="0.2">
      <c r="A4219" t="s">
        <v>313</v>
      </c>
      <c r="B4219" t="s">
        <v>3559</v>
      </c>
      <c r="C4219" t="s">
        <v>13107</v>
      </c>
      <c r="D4219" t="s">
        <v>13108</v>
      </c>
      <c r="E4219" t="s">
        <v>612</v>
      </c>
      <c r="F4219" t="s">
        <v>24</v>
      </c>
      <c r="G4219" t="s">
        <v>24</v>
      </c>
      <c r="H4219">
        <f>17789*(1.01^10)</f>
        <v>19650.122988939922</v>
      </c>
      <c r="I4219">
        <f>83453*(1.01^10)</f>
        <v>92184.030231941273</v>
      </c>
      <c r="J4219" t="s">
        <v>13109</v>
      </c>
      <c r="K4219">
        <f t="shared" si="65"/>
        <v>178.72395787421485</v>
      </c>
    </row>
    <row r="4220" spans="1:11" x14ac:dyDescent="0.2">
      <c r="A4220" t="s">
        <v>313</v>
      </c>
      <c r="B4220" t="s">
        <v>3559</v>
      </c>
      <c r="C4220" t="s">
        <v>13110</v>
      </c>
      <c r="D4220" t="s">
        <v>13111</v>
      </c>
      <c r="E4220" t="s">
        <v>3215</v>
      </c>
      <c r="F4220" t="s">
        <v>24</v>
      </c>
      <c r="G4220" t="s">
        <v>17</v>
      </c>
      <c r="H4220">
        <f>39303*(1.01^10)</f>
        <v>43414.963395036582</v>
      </c>
      <c r="I4220">
        <f>178370*(1.01^10)</f>
        <v>197031.44850959658</v>
      </c>
      <c r="J4220" t="s">
        <v>13112</v>
      </c>
      <c r="K4220">
        <f t="shared" si="65"/>
        <v>263.23155136150029</v>
      </c>
    </row>
    <row r="4221" spans="1:11" x14ac:dyDescent="0.2">
      <c r="A4221" t="s">
        <v>313</v>
      </c>
      <c r="B4221" t="s">
        <v>3559</v>
      </c>
      <c r="C4221" t="s">
        <v>13113</v>
      </c>
      <c r="D4221" t="s">
        <v>13114</v>
      </c>
      <c r="E4221" t="s">
        <v>495</v>
      </c>
      <c r="F4221" t="s">
        <v>11</v>
      </c>
      <c r="G4221" t="s">
        <v>382</v>
      </c>
      <c r="H4221">
        <f>128526*(1.01^10)</f>
        <v>141972.6632906005</v>
      </c>
      <c r="I4221">
        <f>550166*(1.01^10)</f>
        <v>607725.5362489809</v>
      </c>
      <c r="J4221" t="s">
        <v>13115</v>
      </c>
      <c r="K4221">
        <f t="shared" si="65"/>
        <v>583.31385156115255</v>
      </c>
    </row>
    <row r="4222" spans="1:11" x14ac:dyDescent="0.2">
      <c r="A4222" t="s">
        <v>313</v>
      </c>
      <c r="B4222" t="s">
        <v>3559</v>
      </c>
      <c r="C4222" t="s">
        <v>13116</v>
      </c>
      <c r="D4222" t="s">
        <v>13117</v>
      </c>
      <c r="E4222" t="s">
        <v>180</v>
      </c>
      <c r="F4222" t="s">
        <v>24</v>
      </c>
      <c r="G4222" t="s">
        <v>17</v>
      </c>
      <c r="H4222">
        <f>318180*(1.01^10)</f>
        <v>351468.66786333715</v>
      </c>
      <c r="I4222">
        <f>1343402*(1.01^10)</f>
        <v>1483951.5725216633</v>
      </c>
      <c r="J4222" t="s">
        <v>13118</v>
      </c>
      <c r="K4222">
        <f t="shared" si="65"/>
        <v>2725.9480005174019</v>
      </c>
    </row>
    <row r="4223" spans="1:11" x14ac:dyDescent="0.2">
      <c r="A4223" t="s">
        <v>313</v>
      </c>
      <c r="B4223" t="s">
        <v>3559</v>
      </c>
      <c r="C4223" t="s">
        <v>13119</v>
      </c>
      <c r="D4223" t="s">
        <v>13120</v>
      </c>
      <c r="E4223" t="s">
        <v>318</v>
      </c>
      <c r="F4223" t="s">
        <v>24</v>
      </c>
      <c r="G4223" t="s">
        <v>11</v>
      </c>
      <c r="H4223">
        <f>899330*(1.01^10)</f>
        <v>993419.81604605878</v>
      </c>
      <c r="I4223">
        <f>3787036*(1.01^10)</f>
        <v>4183243.755328747</v>
      </c>
      <c r="J4223" t="s">
        <v>13121</v>
      </c>
      <c r="K4223">
        <f t="shared" si="65"/>
        <v>10457.063681953672</v>
      </c>
    </row>
    <row r="4224" spans="1:11" x14ac:dyDescent="0.2">
      <c r="A4224" t="s">
        <v>313</v>
      </c>
      <c r="B4224" t="s">
        <v>3559</v>
      </c>
      <c r="C4224" t="s">
        <v>13122</v>
      </c>
      <c r="D4224" t="s">
        <v>13123</v>
      </c>
      <c r="E4224" t="s">
        <v>689</v>
      </c>
      <c r="F4224" t="s">
        <v>11</v>
      </c>
      <c r="G4224" t="s">
        <v>318</v>
      </c>
      <c r="H4224">
        <f>234249*(1.01^10)</f>
        <v>258756.62825544929</v>
      </c>
      <c r="I4224">
        <f>1141386*(1.01^10)</f>
        <v>1260800.2292345935</v>
      </c>
      <c r="J4224" t="s">
        <v>13124</v>
      </c>
      <c r="K4224">
        <f t="shared" si="65"/>
        <v>1804.4427370543185</v>
      </c>
    </row>
    <row r="4225" spans="1:11" x14ac:dyDescent="0.2">
      <c r="A4225" t="s">
        <v>313</v>
      </c>
      <c r="B4225" t="s">
        <v>3559</v>
      </c>
      <c r="C4225" t="s">
        <v>13125</v>
      </c>
      <c r="D4225" t="s">
        <v>13126</v>
      </c>
      <c r="E4225" t="s">
        <v>667</v>
      </c>
      <c r="F4225" t="s">
        <v>5</v>
      </c>
      <c r="G4225" t="s">
        <v>158</v>
      </c>
      <c r="H4225">
        <f>64924*(1.01^10)</f>
        <v>71716.486870197055</v>
      </c>
      <c r="I4225">
        <f>314103*(1.01^10)</f>
        <v>346965.12345803564</v>
      </c>
      <c r="J4225" t="s">
        <v>13127</v>
      </c>
      <c r="K4225">
        <f t="shared" si="65"/>
        <v>214.68488482454435</v>
      </c>
    </row>
    <row r="4226" spans="1:11" x14ac:dyDescent="0.2">
      <c r="A4226" t="s">
        <v>313</v>
      </c>
      <c r="B4226" t="s">
        <v>3559</v>
      </c>
      <c r="C4226" t="s">
        <v>13128</v>
      </c>
      <c r="D4226" t="s">
        <v>13129</v>
      </c>
      <c r="E4226" t="s">
        <v>879</v>
      </c>
      <c r="F4226" t="s">
        <v>12</v>
      </c>
      <c r="G4226" t="s">
        <v>11</v>
      </c>
      <c r="H4226">
        <f>377146*(1.01^10)</f>
        <v>416603.81611033424</v>
      </c>
      <c r="I4226">
        <f>1565417*(1.01^10)</f>
        <v>1729194.2536948319</v>
      </c>
      <c r="J4226" t="s">
        <v>13130</v>
      </c>
      <c r="K4226">
        <f t="shared" si="65"/>
        <v>5529.5288235316948</v>
      </c>
    </row>
    <row r="4227" spans="1:11" x14ac:dyDescent="0.2">
      <c r="A4227" t="s">
        <v>313</v>
      </c>
      <c r="B4227" t="s">
        <v>3559</v>
      </c>
      <c r="C4227" t="s">
        <v>13131</v>
      </c>
      <c r="D4227" t="s">
        <v>13132</v>
      </c>
      <c r="E4227" t="s">
        <v>24</v>
      </c>
      <c r="F4227" t="s">
        <v>24</v>
      </c>
      <c r="G4227" t="s">
        <v>12</v>
      </c>
      <c r="H4227">
        <f>111799*(1.01^10)</f>
        <v>123495.64899884727</v>
      </c>
      <c r="I4227">
        <f>506098*(1.01^10)</f>
        <v>559047.04842635989</v>
      </c>
      <c r="J4227" t="s">
        <v>458</v>
      </c>
      <c r="K4227">
        <f t="shared" ref="K4227:K4290" si="66">I4227/J4227</f>
        <v>43003.619109719992</v>
      </c>
    </row>
    <row r="4228" spans="1:11" x14ac:dyDescent="0.2">
      <c r="A4228" t="s">
        <v>313</v>
      </c>
      <c r="B4228" t="s">
        <v>3559</v>
      </c>
      <c r="C4228" t="s">
        <v>13133</v>
      </c>
      <c r="D4228" t="s">
        <v>13134</v>
      </c>
      <c r="E4228" t="s">
        <v>1362</v>
      </c>
      <c r="F4228" t="s">
        <v>92</v>
      </c>
      <c r="G4228" t="s">
        <v>11</v>
      </c>
      <c r="H4228">
        <f>130986*(1.01^10)</f>
        <v>144690.03371911208</v>
      </c>
      <c r="I4228">
        <f>565340*(1.01^10)</f>
        <v>624487.07237997046</v>
      </c>
      <c r="J4228" t="s">
        <v>13135</v>
      </c>
      <c r="K4228">
        <f t="shared" si="66"/>
        <v>1903.2276983419799</v>
      </c>
    </row>
    <row r="4229" spans="1:11" x14ac:dyDescent="0.2">
      <c r="A4229" t="s">
        <v>313</v>
      </c>
      <c r="B4229" t="s">
        <v>3559</v>
      </c>
      <c r="C4229" t="s">
        <v>13136</v>
      </c>
      <c r="D4229" t="s">
        <v>13137</v>
      </c>
      <c r="E4229" t="s">
        <v>144</v>
      </c>
      <c r="F4229" t="s">
        <v>24</v>
      </c>
      <c r="G4229" t="s">
        <v>12</v>
      </c>
      <c r="H4229">
        <f>40908*(1.01^10)</f>
        <v>45187.881906321563</v>
      </c>
      <c r="I4229">
        <f>190652*(1.01^10)</f>
        <v>210598.41745389701</v>
      </c>
      <c r="J4229" t="s">
        <v>13138</v>
      </c>
      <c r="K4229">
        <f t="shared" si="66"/>
        <v>228.48911517185309</v>
      </c>
    </row>
    <row r="4230" spans="1:11" x14ac:dyDescent="0.2">
      <c r="A4230" t="s">
        <v>313</v>
      </c>
      <c r="B4230" t="s">
        <v>1629</v>
      </c>
      <c r="C4230" t="s">
        <v>13139</v>
      </c>
      <c r="D4230" t="s">
        <v>13140</v>
      </c>
      <c r="E4230" t="s">
        <v>24</v>
      </c>
      <c r="F4230" t="s">
        <v>24</v>
      </c>
      <c r="G4230" t="s">
        <v>12</v>
      </c>
      <c r="H4230">
        <f>2105604*(1.01^10)</f>
        <v>2325896.7657543342</v>
      </c>
      <c r="I4230">
        <f>9356962*(1.01^10)</f>
        <v>10335907.251831878</v>
      </c>
      <c r="J4230" t="s">
        <v>828</v>
      </c>
      <c r="K4230">
        <f t="shared" si="66"/>
        <v>23174.679936842775</v>
      </c>
    </row>
    <row r="4231" spans="1:11" x14ac:dyDescent="0.2">
      <c r="A4231" t="s">
        <v>313</v>
      </c>
      <c r="B4231" t="s">
        <v>1147</v>
      </c>
      <c r="C4231" t="s">
        <v>13141</v>
      </c>
      <c r="D4231" t="s">
        <v>13142</v>
      </c>
      <c r="E4231" t="s">
        <v>24</v>
      </c>
      <c r="F4231" t="s">
        <v>24</v>
      </c>
      <c r="G4231" t="s">
        <v>24</v>
      </c>
      <c r="H4231">
        <f>674339*(1.01^10)</f>
        <v>744889.77942766645</v>
      </c>
      <c r="I4231">
        <f>3085411*(1.01^10)</f>
        <v>3408213.2565871105</v>
      </c>
      <c r="J4231" t="s">
        <v>467</v>
      </c>
      <c r="K4231">
        <f t="shared" si="66"/>
        <v>21708.364691637646</v>
      </c>
    </row>
    <row r="4232" spans="1:11" x14ac:dyDescent="0.2">
      <c r="A4232" t="s">
        <v>313</v>
      </c>
      <c r="B4232" t="s">
        <v>914</v>
      </c>
      <c r="C4232" t="s">
        <v>13143</v>
      </c>
      <c r="D4232" t="s">
        <v>13144</v>
      </c>
      <c r="E4232" t="s">
        <v>619</v>
      </c>
      <c r="F4232" t="s">
        <v>158</v>
      </c>
      <c r="G4232" t="s">
        <v>92</v>
      </c>
      <c r="H4232">
        <f>38133*(1.01^10)</f>
        <v>42122.555508305471</v>
      </c>
      <c r="I4232">
        <f>160303*(1.01^10)</f>
        <v>177074.24056979237</v>
      </c>
      <c r="J4232" t="s">
        <v>13145</v>
      </c>
      <c r="K4232">
        <f t="shared" si="66"/>
        <v>574.54328543086433</v>
      </c>
    </row>
    <row r="4233" spans="1:11" x14ac:dyDescent="0.2">
      <c r="A4233" t="s">
        <v>313</v>
      </c>
      <c r="B4233" t="s">
        <v>914</v>
      </c>
      <c r="C4233" t="s">
        <v>13146</v>
      </c>
      <c r="D4233" t="s">
        <v>13147</v>
      </c>
      <c r="E4233" t="s">
        <v>467</v>
      </c>
      <c r="F4233" t="s">
        <v>12</v>
      </c>
      <c r="G4233" t="s">
        <v>152</v>
      </c>
      <c r="H4233">
        <f>176364*(1.01^10)</f>
        <v>194815.5765260217</v>
      </c>
      <c r="I4233">
        <f>750236*(1.01^10)</f>
        <v>828727.28488000063</v>
      </c>
      <c r="J4233" t="s">
        <v>13148</v>
      </c>
      <c r="K4233">
        <f t="shared" si="66"/>
        <v>1352.3396891042933</v>
      </c>
    </row>
    <row r="4234" spans="1:11" x14ac:dyDescent="0.2">
      <c r="A4234" t="s">
        <v>313</v>
      </c>
      <c r="B4234" t="s">
        <v>914</v>
      </c>
      <c r="C4234" t="s">
        <v>13149</v>
      </c>
      <c r="D4234" t="s">
        <v>13150</v>
      </c>
      <c r="E4234" t="s">
        <v>123</v>
      </c>
      <c r="F4234" t="s">
        <v>24</v>
      </c>
      <c r="G4234" t="s">
        <v>11</v>
      </c>
      <c r="H4234">
        <f>44451*(1.01^10)</f>
        <v>49101.558096653462</v>
      </c>
      <c r="I4234">
        <f>212051*(1.01^10)</f>
        <v>234236.22631557137</v>
      </c>
      <c r="J4234" t="s">
        <v>13151</v>
      </c>
      <c r="K4234">
        <f t="shared" si="66"/>
        <v>353.5054199537758</v>
      </c>
    </row>
    <row r="4235" spans="1:11" x14ac:dyDescent="0.2">
      <c r="A4235" t="s">
        <v>313</v>
      </c>
      <c r="B4235" t="s">
        <v>914</v>
      </c>
      <c r="C4235" t="s">
        <v>13152</v>
      </c>
      <c r="D4235" t="s">
        <v>13153</v>
      </c>
      <c r="E4235" t="s">
        <v>2283</v>
      </c>
      <c r="F4235" t="s">
        <v>12</v>
      </c>
      <c r="G4235" t="s">
        <v>5</v>
      </c>
      <c r="H4235">
        <f>46520*(1.01^10)</f>
        <v>51387.021274129242</v>
      </c>
      <c r="I4235">
        <f>207464*(1.01^10)</f>
        <v>229169.32462631018</v>
      </c>
      <c r="J4235" t="s">
        <v>13154</v>
      </c>
      <c r="K4235">
        <f t="shared" si="66"/>
        <v>553.78987150526848</v>
      </c>
    </row>
    <row r="4236" spans="1:11" x14ac:dyDescent="0.2">
      <c r="A4236" t="s">
        <v>313</v>
      </c>
      <c r="B4236" t="s">
        <v>914</v>
      </c>
      <c r="C4236" t="s">
        <v>13155</v>
      </c>
      <c r="D4236" t="s">
        <v>13156</v>
      </c>
      <c r="E4236" t="s">
        <v>413</v>
      </c>
      <c r="F4236" t="s">
        <v>445</v>
      </c>
      <c r="G4236" t="s">
        <v>11</v>
      </c>
      <c r="H4236">
        <f>45142*(1.01^10)</f>
        <v>49864.851985312605</v>
      </c>
      <c r="I4236">
        <f>195454*(1.01^10)</f>
        <v>215902.81290012161</v>
      </c>
      <c r="J4236" t="s">
        <v>13157</v>
      </c>
      <c r="K4236">
        <f t="shared" si="66"/>
        <v>409.15481522915786</v>
      </c>
    </row>
    <row r="4237" spans="1:11" x14ac:dyDescent="0.2">
      <c r="A4237" t="s">
        <v>313</v>
      </c>
      <c r="B4237" t="s">
        <v>914</v>
      </c>
      <c r="C4237" t="s">
        <v>13158</v>
      </c>
      <c r="D4237" t="s">
        <v>13159</v>
      </c>
      <c r="E4237" t="s">
        <v>133</v>
      </c>
      <c r="F4237" t="s">
        <v>356</v>
      </c>
      <c r="G4237" t="s">
        <v>5</v>
      </c>
      <c r="H4237">
        <f>56807*(1.01^10)</f>
        <v>62750.269078234305</v>
      </c>
      <c r="I4237">
        <f>236167*(1.01^10)</f>
        <v>260875.29349198798</v>
      </c>
      <c r="J4237" t="s">
        <v>13160</v>
      </c>
      <c r="K4237">
        <f t="shared" si="66"/>
        <v>511.30964405242543</v>
      </c>
    </row>
    <row r="4238" spans="1:11" x14ac:dyDescent="0.2">
      <c r="A4238" t="s">
        <v>313</v>
      </c>
      <c r="B4238" t="s">
        <v>914</v>
      </c>
      <c r="C4238" t="s">
        <v>13161</v>
      </c>
      <c r="D4238" t="s">
        <v>13162</v>
      </c>
      <c r="E4238" t="s">
        <v>777</v>
      </c>
      <c r="F4238" t="s">
        <v>12</v>
      </c>
      <c r="G4238" t="s">
        <v>12</v>
      </c>
      <c r="H4238">
        <f>16827*(1.01^10)</f>
        <v>18587.476504294344</v>
      </c>
      <c r="I4238">
        <f>74207*(1.01^10)</f>
        <v>81970.694060389273</v>
      </c>
      <c r="J4238" t="s">
        <v>13163</v>
      </c>
      <c r="K4238">
        <f t="shared" si="66"/>
        <v>328.84299779511883</v>
      </c>
    </row>
    <row r="4239" spans="1:11" x14ac:dyDescent="0.2">
      <c r="A4239" t="s">
        <v>313</v>
      </c>
      <c r="B4239" t="s">
        <v>914</v>
      </c>
      <c r="C4239" t="s">
        <v>13164</v>
      </c>
      <c r="D4239" t="s">
        <v>13165</v>
      </c>
      <c r="E4239" t="s">
        <v>806</v>
      </c>
      <c r="F4239" t="s">
        <v>24</v>
      </c>
      <c r="G4239" t="s">
        <v>5</v>
      </c>
      <c r="H4239">
        <f>39012*(1.01^10)</f>
        <v>43093.518356541921</v>
      </c>
      <c r="I4239">
        <f>167110*(1.01^10)</f>
        <v>184593.40337746643</v>
      </c>
      <c r="J4239" t="s">
        <v>13166</v>
      </c>
      <c r="K4239">
        <f t="shared" si="66"/>
        <v>280.97263748891356</v>
      </c>
    </row>
    <row r="4240" spans="1:11" x14ac:dyDescent="0.2">
      <c r="A4240" t="s">
        <v>313</v>
      </c>
      <c r="B4240" t="s">
        <v>914</v>
      </c>
      <c r="C4240" t="s">
        <v>13167</v>
      </c>
      <c r="D4240" t="s">
        <v>13168</v>
      </c>
      <c r="E4240" t="s">
        <v>611</v>
      </c>
      <c r="F4240" t="s">
        <v>12</v>
      </c>
      <c r="G4240" t="s">
        <v>12</v>
      </c>
      <c r="H4240">
        <f>14606*(1.01^10)</f>
        <v>16134.110763756056</v>
      </c>
      <c r="I4240">
        <f>62380*(1.01^10)</f>
        <v>68906.328183150952</v>
      </c>
      <c r="J4240" t="s">
        <v>930</v>
      </c>
      <c r="K4240">
        <f t="shared" si="66"/>
        <v>147.55102394679005</v>
      </c>
    </row>
    <row r="4241" spans="1:11" x14ac:dyDescent="0.2">
      <c r="A4241" t="s">
        <v>313</v>
      </c>
      <c r="B4241" t="s">
        <v>914</v>
      </c>
      <c r="C4241" t="s">
        <v>13169</v>
      </c>
      <c r="D4241" t="s">
        <v>13170</v>
      </c>
      <c r="E4241" t="s">
        <v>128</v>
      </c>
      <c r="F4241" t="s">
        <v>24</v>
      </c>
      <c r="G4241" t="s">
        <v>17</v>
      </c>
      <c r="H4241">
        <f>36147*(1.01^10)</f>
        <v>39928.77596723882</v>
      </c>
      <c r="I4241">
        <f>159613*(1.01^10)</f>
        <v>176312.05130325863</v>
      </c>
      <c r="J4241" t="s">
        <v>13171</v>
      </c>
      <c r="K4241">
        <f t="shared" si="66"/>
        <v>250.13414005881742</v>
      </c>
    </row>
    <row r="4242" spans="1:11" x14ac:dyDescent="0.2">
      <c r="A4242" t="s">
        <v>313</v>
      </c>
      <c r="B4242" t="s">
        <v>914</v>
      </c>
      <c r="C4242" t="s">
        <v>13172</v>
      </c>
      <c r="D4242" t="s">
        <v>13173</v>
      </c>
      <c r="E4242" t="s">
        <v>1545</v>
      </c>
      <c r="F4242" t="s">
        <v>24</v>
      </c>
      <c r="G4242" t="s">
        <v>24</v>
      </c>
      <c r="H4242">
        <f>9844*(1.01^10)</f>
        <v>10873.9002025479</v>
      </c>
      <c r="I4242">
        <f>40619*(1.01^10)</f>
        <v>44868.646112077724</v>
      </c>
      <c r="J4242" t="s">
        <v>13174</v>
      </c>
      <c r="K4242">
        <f t="shared" si="66"/>
        <v>181.46342357064518</v>
      </c>
    </row>
    <row r="4243" spans="1:11" x14ac:dyDescent="0.2">
      <c r="A4243" t="s">
        <v>313</v>
      </c>
      <c r="B4243" t="s">
        <v>914</v>
      </c>
      <c r="C4243" t="s">
        <v>13175</v>
      </c>
      <c r="D4243" t="s">
        <v>13176</v>
      </c>
      <c r="E4243" t="s">
        <v>394</v>
      </c>
      <c r="F4243" t="s">
        <v>24</v>
      </c>
      <c r="G4243" t="s">
        <v>17</v>
      </c>
      <c r="H4243">
        <f>19488*(1.01^10)</f>
        <v>21526.875980013559</v>
      </c>
      <c r="I4243">
        <f>83027*(1.01^10)</f>
        <v>91713.461206516091</v>
      </c>
      <c r="J4243" t="s">
        <v>13177</v>
      </c>
      <c r="K4243">
        <f t="shared" si="66"/>
        <v>363.25040084963598</v>
      </c>
    </row>
    <row r="4244" spans="1:11" x14ac:dyDescent="0.2">
      <c r="A4244" t="s">
        <v>313</v>
      </c>
      <c r="B4244" t="s">
        <v>914</v>
      </c>
      <c r="C4244" t="s">
        <v>13178</v>
      </c>
      <c r="D4244" t="s">
        <v>13179</v>
      </c>
      <c r="E4244" t="s">
        <v>1195</v>
      </c>
      <c r="F4244" t="s">
        <v>17</v>
      </c>
      <c r="G4244" t="s">
        <v>12</v>
      </c>
      <c r="H4244">
        <f>14058*(1.01^10)</f>
        <v>15528.777839030716</v>
      </c>
      <c r="I4244">
        <f>59914*(1.01^10)</f>
        <v>66182.330021886926</v>
      </c>
      <c r="J4244" t="s">
        <v>13180</v>
      </c>
      <c r="K4244">
        <f t="shared" si="66"/>
        <v>200.96662827003198</v>
      </c>
    </row>
    <row r="4245" spans="1:11" x14ac:dyDescent="0.2">
      <c r="A4245" t="s">
        <v>313</v>
      </c>
      <c r="B4245" t="s">
        <v>914</v>
      </c>
      <c r="C4245" t="s">
        <v>13181</v>
      </c>
      <c r="D4245" t="s">
        <v>13182</v>
      </c>
      <c r="E4245" t="s">
        <v>385</v>
      </c>
      <c r="F4245" t="s">
        <v>24</v>
      </c>
      <c r="G4245" t="s">
        <v>11</v>
      </c>
      <c r="H4245">
        <f>42680*(1.01^10)</f>
        <v>47145.272312550216</v>
      </c>
      <c r="I4245">
        <f>180191*(1.01^10)</f>
        <v>199042.96539997039</v>
      </c>
      <c r="J4245" t="s">
        <v>13183</v>
      </c>
      <c r="K4245">
        <f t="shared" si="66"/>
        <v>239.86860134968714</v>
      </c>
    </row>
    <row r="4246" spans="1:11" x14ac:dyDescent="0.2">
      <c r="A4246" t="s">
        <v>313</v>
      </c>
      <c r="B4246" t="s">
        <v>914</v>
      </c>
      <c r="C4246" t="s">
        <v>13184</v>
      </c>
      <c r="D4246" t="s">
        <v>13185</v>
      </c>
      <c r="E4246" t="s">
        <v>484</v>
      </c>
      <c r="F4246" t="s">
        <v>24</v>
      </c>
      <c r="G4246" t="s">
        <v>12</v>
      </c>
      <c r="H4246">
        <f>11711*(1.01^10)</f>
        <v>12936.229710690619</v>
      </c>
      <c r="I4246">
        <f>45464*(1.01^10)</f>
        <v>50220.54030969501</v>
      </c>
      <c r="J4246" t="s">
        <v>13186</v>
      </c>
      <c r="K4246">
        <f t="shared" si="66"/>
        <v>132.26721880927866</v>
      </c>
    </row>
    <row r="4247" spans="1:11" x14ac:dyDescent="0.2">
      <c r="A4247" t="s">
        <v>313</v>
      </c>
      <c r="B4247" t="s">
        <v>13187</v>
      </c>
      <c r="C4247" t="s">
        <v>13188</v>
      </c>
      <c r="D4247" t="s">
        <v>13189</v>
      </c>
      <c r="E4247" t="s">
        <v>385</v>
      </c>
      <c r="F4247" t="s">
        <v>17</v>
      </c>
      <c r="G4247" t="s">
        <v>12</v>
      </c>
      <c r="H4247">
        <f>85864*(1.01^10)</f>
        <v>94847.274176307677</v>
      </c>
      <c r="I4247">
        <f>399302*(1.01^10)</f>
        <v>441077.82392094488</v>
      </c>
      <c r="J4247" t="s">
        <v>13190</v>
      </c>
      <c r="K4247">
        <f t="shared" si="66"/>
        <v>318.85451227550016</v>
      </c>
    </row>
    <row r="4248" spans="1:11" x14ac:dyDescent="0.2">
      <c r="A4248" t="s">
        <v>313</v>
      </c>
      <c r="B4248" t="s">
        <v>13187</v>
      </c>
      <c r="C4248" t="s">
        <v>13191</v>
      </c>
      <c r="D4248" t="s">
        <v>13192</v>
      </c>
      <c r="E4248" t="s">
        <v>320</v>
      </c>
      <c r="F4248" t="s">
        <v>24</v>
      </c>
      <c r="G4248" t="s">
        <v>12</v>
      </c>
      <c r="H4248">
        <f>50357*(1.01^10)</f>
        <v>55625.456369332038</v>
      </c>
      <c r="I4248">
        <f>235972*(1.01^10)</f>
        <v>260659.89217753281</v>
      </c>
      <c r="J4248" t="s">
        <v>13193</v>
      </c>
      <c r="K4248">
        <f t="shared" si="66"/>
        <v>250.78643041220676</v>
      </c>
    </row>
    <row r="4249" spans="1:11" x14ac:dyDescent="0.2">
      <c r="A4249" t="s">
        <v>313</v>
      </c>
      <c r="B4249" t="s">
        <v>13187</v>
      </c>
      <c r="C4249" t="s">
        <v>13194</v>
      </c>
      <c r="D4249" t="s">
        <v>13195</v>
      </c>
      <c r="E4249" t="s">
        <v>1960</v>
      </c>
      <c r="F4249" t="s">
        <v>24</v>
      </c>
      <c r="G4249" t="s">
        <v>11</v>
      </c>
      <c r="H4249">
        <f>80917*(1.01^10)</f>
        <v>89382.708521898458</v>
      </c>
      <c r="I4249">
        <f>385414*(1.01^10)</f>
        <v>425736.83184323407</v>
      </c>
      <c r="J4249" t="s">
        <v>13196</v>
      </c>
      <c r="K4249">
        <f t="shared" si="66"/>
        <v>272.86274841579871</v>
      </c>
    </row>
    <row r="4250" spans="1:11" x14ac:dyDescent="0.2">
      <c r="A4250" t="s">
        <v>313</v>
      </c>
      <c r="B4250" t="s">
        <v>13187</v>
      </c>
      <c r="C4250" t="s">
        <v>13197</v>
      </c>
      <c r="D4250" t="s">
        <v>13198</v>
      </c>
      <c r="E4250" t="s">
        <v>128</v>
      </c>
      <c r="F4250" t="s">
        <v>12</v>
      </c>
      <c r="G4250" t="s">
        <v>158</v>
      </c>
      <c r="H4250">
        <f>99477*(1.01^10)</f>
        <v>109884.49516953042</v>
      </c>
      <c r="I4250">
        <f>450116*(1.01^10)</f>
        <v>497208.09260158986</v>
      </c>
      <c r="J4250" t="s">
        <v>13199</v>
      </c>
      <c r="K4250">
        <f t="shared" si="66"/>
        <v>363.17480066731179</v>
      </c>
    </row>
    <row r="4251" spans="1:11" x14ac:dyDescent="0.2">
      <c r="A4251" t="s">
        <v>313</v>
      </c>
      <c r="B4251" t="s">
        <v>13187</v>
      </c>
      <c r="C4251" t="s">
        <v>13200</v>
      </c>
      <c r="D4251" t="s">
        <v>13201</v>
      </c>
      <c r="E4251" t="s">
        <v>385</v>
      </c>
      <c r="F4251" t="s">
        <v>158</v>
      </c>
      <c r="G4251" t="s">
        <v>92</v>
      </c>
      <c r="H4251">
        <f>78233*(1.01^10)</f>
        <v>86417.902737294775</v>
      </c>
      <c r="I4251">
        <f>377559*(1.01^10)</f>
        <v>417060.02504812903</v>
      </c>
      <c r="J4251" t="s">
        <v>13202</v>
      </c>
      <c r="K4251">
        <f t="shared" si="66"/>
        <v>369.14500358304923</v>
      </c>
    </row>
    <row r="4252" spans="1:11" x14ac:dyDescent="0.2">
      <c r="A4252" t="s">
        <v>313</v>
      </c>
      <c r="B4252" t="s">
        <v>13187</v>
      </c>
      <c r="C4252" t="s">
        <v>13203</v>
      </c>
      <c r="D4252" t="s">
        <v>13204</v>
      </c>
      <c r="E4252" t="s">
        <v>320</v>
      </c>
      <c r="F4252" t="s">
        <v>17</v>
      </c>
      <c r="G4252" t="s">
        <v>17</v>
      </c>
      <c r="H4252">
        <f>38014*(1.01^10)</f>
        <v>41991.105475381541</v>
      </c>
      <c r="I4252">
        <f>171006*(1.01^10)</f>
        <v>188897.01117806847</v>
      </c>
      <c r="J4252" t="s">
        <v>13205</v>
      </c>
      <c r="K4252">
        <f t="shared" si="66"/>
        <v>183.53771004476144</v>
      </c>
    </row>
    <row r="4253" spans="1:11" x14ac:dyDescent="0.2">
      <c r="A4253" t="s">
        <v>313</v>
      </c>
      <c r="B4253" t="s">
        <v>13187</v>
      </c>
      <c r="C4253" t="s">
        <v>13206</v>
      </c>
      <c r="D4253" t="s">
        <v>82</v>
      </c>
      <c r="E4253" t="s">
        <v>4</v>
      </c>
      <c r="F4253" t="s">
        <v>92</v>
      </c>
      <c r="G4253" t="s">
        <v>92</v>
      </c>
      <c r="H4253">
        <f>586551*(1.01^10)</f>
        <v>647917.21228206751</v>
      </c>
      <c r="I4253">
        <f>2435581*(1.01^10)</f>
        <v>2690396.6608311473</v>
      </c>
      <c r="J4253" t="s">
        <v>13207</v>
      </c>
      <c r="K4253">
        <f t="shared" si="66"/>
        <v>2312.2312413142085</v>
      </c>
    </row>
    <row r="4254" spans="1:11" x14ac:dyDescent="0.2">
      <c r="A4254" t="s">
        <v>313</v>
      </c>
      <c r="B4254" t="s">
        <v>13187</v>
      </c>
      <c r="C4254" t="s">
        <v>13208</v>
      </c>
      <c r="D4254" t="s">
        <v>13209</v>
      </c>
      <c r="E4254" t="s">
        <v>12</v>
      </c>
      <c r="F4254" t="s">
        <v>24</v>
      </c>
      <c r="G4254" t="s">
        <v>11</v>
      </c>
      <c r="H4254">
        <f>781507*(1.01^10)</f>
        <v>863269.92336373439</v>
      </c>
      <c r="I4254">
        <f>3304888*(1.01^10)</f>
        <v>3650652.4068059856</v>
      </c>
      <c r="J4254" t="s">
        <v>13210</v>
      </c>
      <c r="K4254">
        <f t="shared" si="66"/>
        <v>12745.80129462323</v>
      </c>
    </row>
    <row r="4255" spans="1:11" x14ac:dyDescent="0.2">
      <c r="A4255" t="s">
        <v>313</v>
      </c>
      <c r="B4255" t="s">
        <v>13187</v>
      </c>
      <c r="C4255" t="s">
        <v>13211</v>
      </c>
      <c r="D4255" t="s">
        <v>13212</v>
      </c>
      <c r="E4255" t="s">
        <v>28</v>
      </c>
      <c r="F4255" t="s">
        <v>24</v>
      </c>
      <c r="G4255" t="s">
        <v>17</v>
      </c>
      <c r="H4255">
        <f>78294*(1.01^10)</f>
        <v>86485.284686944869</v>
      </c>
      <c r="I4255">
        <f>380496*(1.01^10)</f>
        <v>420304.30023046175</v>
      </c>
      <c r="J4255" t="s">
        <v>13213</v>
      </c>
      <c r="K4255">
        <f t="shared" si="66"/>
        <v>321.37041727297856</v>
      </c>
    </row>
    <row r="4256" spans="1:11" x14ac:dyDescent="0.2">
      <c r="A4256" t="s">
        <v>313</v>
      </c>
      <c r="B4256" t="s">
        <v>13187</v>
      </c>
      <c r="C4256" t="s">
        <v>13214</v>
      </c>
      <c r="D4256" t="s">
        <v>13215</v>
      </c>
      <c r="E4256" t="s">
        <v>1617</v>
      </c>
      <c r="F4256" t="s">
        <v>12</v>
      </c>
      <c r="G4256" t="s">
        <v>11</v>
      </c>
      <c r="H4256">
        <f>51259*(1.01^10)</f>
        <v>56621.825526452943</v>
      </c>
      <c r="I4256">
        <f>235659*(1.01^10)</f>
        <v>260314.1454522791</v>
      </c>
      <c r="J4256" t="s">
        <v>13216</v>
      </c>
      <c r="K4256">
        <f t="shared" si="66"/>
        <v>236.29478096698506</v>
      </c>
    </row>
    <row r="4257" spans="1:11" x14ac:dyDescent="0.2">
      <c r="A4257" t="s">
        <v>313</v>
      </c>
      <c r="B4257" t="s">
        <v>13187</v>
      </c>
      <c r="C4257" t="s">
        <v>13217</v>
      </c>
      <c r="D4257" t="s">
        <v>13218</v>
      </c>
      <c r="E4257" t="s">
        <v>1912</v>
      </c>
      <c r="F4257" t="s">
        <v>158</v>
      </c>
      <c r="G4257" t="s">
        <v>24</v>
      </c>
      <c r="H4257">
        <f>11428*(1.01^10)</f>
        <v>12623.621649199247</v>
      </c>
      <c r="I4257">
        <f>54516*(1.01^10)</f>
        <v>60219.579788917239</v>
      </c>
      <c r="J4257" t="s">
        <v>13219</v>
      </c>
      <c r="K4257">
        <f t="shared" si="66"/>
        <v>105.8098848925856</v>
      </c>
    </row>
    <row r="4258" spans="1:11" x14ac:dyDescent="0.2">
      <c r="A4258" t="s">
        <v>313</v>
      </c>
      <c r="B4258" t="s">
        <v>13187</v>
      </c>
      <c r="C4258" t="s">
        <v>13220</v>
      </c>
      <c r="D4258" t="s">
        <v>13221</v>
      </c>
      <c r="E4258" t="s">
        <v>352</v>
      </c>
      <c r="F4258" t="s">
        <v>12</v>
      </c>
      <c r="G4258" t="s">
        <v>12</v>
      </c>
      <c r="H4258">
        <f>39007*(1.01^10)</f>
        <v>43087.995245914863</v>
      </c>
      <c r="I4258">
        <f>186116*(1.01^10)</f>
        <v>205587.85149303178</v>
      </c>
      <c r="J4258" t="s">
        <v>13222</v>
      </c>
      <c r="K4258">
        <f t="shared" si="66"/>
        <v>239.03062643796784</v>
      </c>
    </row>
    <row r="4259" spans="1:11" x14ac:dyDescent="0.2">
      <c r="A4259" t="s">
        <v>313</v>
      </c>
      <c r="B4259" t="s">
        <v>13187</v>
      </c>
      <c r="C4259" t="s">
        <v>13223</v>
      </c>
      <c r="D4259" t="s">
        <v>13224</v>
      </c>
      <c r="E4259" t="s">
        <v>315</v>
      </c>
      <c r="F4259" t="s">
        <v>24</v>
      </c>
      <c r="G4259" t="s">
        <v>17</v>
      </c>
      <c r="H4259">
        <f>90912*(1.01^10)</f>
        <v>100423.40666538345</v>
      </c>
      <c r="I4259">
        <f>429600*(1.01^10)</f>
        <v>474545.66507665353</v>
      </c>
      <c r="J4259" t="s">
        <v>13225</v>
      </c>
      <c r="K4259">
        <f t="shared" si="66"/>
        <v>345.7074227617897</v>
      </c>
    </row>
    <row r="4260" spans="1:11" x14ac:dyDescent="0.2">
      <c r="A4260" t="s">
        <v>313</v>
      </c>
      <c r="B4260" t="s">
        <v>13187</v>
      </c>
      <c r="C4260" t="s">
        <v>13226</v>
      </c>
      <c r="D4260" t="s">
        <v>13227</v>
      </c>
      <c r="E4260" t="s">
        <v>703</v>
      </c>
      <c r="F4260" t="s">
        <v>12</v>
      </c>
      <c r="G4260" t="s">
        <v>12</v>
      </c>
      <c r="H4260">
        <f>79683*(1.01^10)</f>
        <v>88019.604819141023</v>
      </c>
      <c r="I4260">
        <f>383183*(1.01^10)</f>
        <v>423272.41988144169</v>
      </c>
      <c r="J4260" t="s">
        <v>13228</v>
      </c>
      <c r="K4260">
        <f t="shared" si="66"/>
        <v>287.81902862836199</v>
      </c>
    </row>
    <row r="4261" spans="1:11" x14ac:dyDescent="0.2">
      <c r="A4261" t="s">
        <v>313</v>
      </c>
      <c r="B4261" t="s">
        <v>2300</v>
      </c>
      <c r="C4261" t="s">
        <v>13229</v>
      </c>
      <c r="D4261" t="s">
        <v>12609</v>
      </c>
      <c r="E4261" t="s">
        <v>396</v>
      </c>
      <c r="F4261" t="s">
        <v>24</v>
      </c>
      <c r="G4261" t="s">
        <v>12</v>
      </c>
      <c r="H4261">
        <f>59284*(1.01^10)</f>
        <v>65486.418082877863</v>
      </c>
      <c r="I4261">
        <f>291950*(1.01^10)</f>
        <v>322494.42951380124</v>
      </c>
      <c r="J4261" t="s">
        <v>13230</v>
      </c>
      <c r="K4261">
        <f t="shared" si="66"/>
        <v>217.0671065389154</v>
      </c>
    </row>
    <row r="4262" spans="1:11" x14ac:dyDescent="0.2">
      <c r="A4262" t="s">
        <v>313</v>
      </c>
      <c r="B4262" t="s">
        <v>2300</v>
      </c>
      <c r="C4262" t="s">
        <v>13231</v>
      </c>
      <c r="D4262" t="s">
        <v>13232</v>
      </c>
      <c r="E4262" t="s">
        <v>982</v>
      </c>
      <c r="F4262" t="s">
        <v>24</v>
      </c>
      <c r="G4262" t="s">
        <v>17</v>
      </c>
      <c r="H4262">
        <f>95452*(1.01^10)</f>
        <v>105438.39111475031</v>
      </c>
      <c r="I4262">
        <f>487939*(1.01^10)</f>
        <v>538988.21525101783</v>
      </c>
      <c r="J4262" t="s">
        <v>13233</v>
      </c>
      <c r="K4262">
        <f t="shared" si="66"/>
        <v>318.58672974566758</v>
      </c>
    </row>
    <row r="4263" spans="1:11" x14ac:dyDescent="0.2">
      <c r="A4263" t="s">
        <v>313</v>
      </c>
      <c r="B4263" t="s">
        <v>2300</v>
      </c>
      <c r="C4263" t="s">
        <v>13234</v>
      </c>
      <c r="D4263" t="s">
        <v>13235</v>
      </c>
      <c r="E4263" t="s">
        <v>410</v>
      </c>
      <c r="F4263" t="s">
        <v>24</v>
      </c>
      <c r="G4263" t="s">
        <v>12</v>
      </c>
      <c r="H4263">
        <f>60680*(1.01^10)</f>
        <v>67028.470569951911</v>
      </c>
      <c r="I4263">
        <f>302452*(1.01^10)</f>
        <v>334095.17107486969</v>
      </c>
      <c r="J4263" t="s">
        <v>13236</v>
      </c>
      <c r="K4263">
        <f t="shared" si="66"/>
        <v>454.29783532297591</v>
      </c>
    </row>
    <row r="4264" spans="1:11" x14ac:dyDescent="0.2">
      <c r="A4264" t="s">
        <v>313</v>
      </c>
      <c r="B4264" t="s">
        <v>2300</v>
      </c>
      <c r="C4264" t="s">
        <v>13237</v>
      </c>
      <c r="D4264" t="s">
        <v>13238</v>
      </c>
      <c r="E4264" t="s">
        <v>837</v>
      </c>
      <c r="F4264" t="s">
        <v>24</v>
      </c>
      <c r="G4264" t="s">
        <v>17</v>
      </c>
      <c r="H4264">
        <f>64711*(1.01^10)</f>
        <v>71481.202357484464</v>
      </c>
      <c r="I4264">
        <f>320485*(1.01^10)</f>
        <v>354014.82186240994</v>
      </c>
      <c r="J4264" t="s">
        <v>13239</v>
      </c>
      <c r="K4264">
        <f t="shared" si="66"/>
        <v>544.87290196147558</v>
      </c>
    </row>
    <row r="4265" spans="1:11" x14ac:dyDescent="0.2">
      <c r="A4265" t="s">
        <v>313</v>
      </c>
      <c r="B4265" t="s">
        <v>2300</v>
      </c>
      <c r="C4265" t="s">
        <v>13240</v>
      </c>
      <c r="D4265" t="s">
        <v>13241</v>
      </c>
      <c r="E4265" t="s">
        <v>3122</v>
      </c>
      <c r="F4265" t="s">
        <v>12</v>
      </c>
      <c r="G4265" t="s">
        <v>12</v>
      </c>
      <c r="H4265">
        <f>58926*(1.01^10)</f>
        <v>65090.963361980648</v>
      </c>
      <c r="I4265">
        <f>287500*(1.01^10)</f>
        <v>317578.86105572135</v>
      </c>
      <c r="J4265" t="s">
        <v>13242</v>
      </c>
      <c r="K4265">
        <f t="shared" si="66"/>
        <v>575.72035288010102</v>
      </c>
    </row>
    <row r="4266" spans="1:11" x14ac:dyDescent="0.2">
      <c r="A4266" t="s">
        <v>313</v>
      </c>
      <c r="B4266" t="s">
        <v>2300</v>
      </c>
      <c r="C4266" t="s">
        <v>13243</v>
      </c>
      <c r="D4266" t="s">
        <v>13244</v>
      </c>
      <c r="E4266" t="s">
        <v>761</v>
      </c>
      <c r="F4266" t="s">
        <v>24</v>
      </c>
      <c r="G4266" t="s">
        <v>24</v>
      </c>
      <c r="H4266">
        <f>72789*(1.01^10)</f>
        <v>80404.339886556176</v>
      </c>
      <c r="I4266">
        <f>357829*(1.01^10)</f>
        <v>395265.83051376598</v>
      </c>
      <c r="J4266" t="s">
        <v>13245</v>
      </c>
      <c r="K4266">
        <f t="shared" si="66"/>
        <v>307.20778967991509</v>
      </c>
    </row>
    <row r="4267" spans="1:11" x14ac:dyDescent="0.2">
      <c r="A4267" t="s">
        <v>313</v>
      </c>
      <c r="B4267" t="s">
        <v>2300</v>
      </c>
      <c r="C4267" t="s">
        <v>13246</v>
      </c>
      <c r="D4267" t="s">
        <v>13247</v>
      </c>
      <c r="E4267" t="s">
        <v>436</v>
      </c>
      <c r="F4267" t="s">
        <v>24</v>
      </c>
      <c r="G4267" t="s">
        <v>24</v>
      </c>
      <c r="H4267">
        <f>50873*(1.01^10)</f>
        <v>56195.441386044222</v>
      </c>
      <c r="I4267">
        <f>245714*(1.01^10)</f>
        <v>271421.12092328875</v>
      </c>
      <c r="J4267" t="s">
        <v>13248</v>
      </c>
      <c r="K4267">
        <f t="shared" si="66"/>
        <v>251.09033638610575</v>
      </c>
    </row>
    <row r="4268" spans="1:11" x14ac:dyDescent="0.2">
      <c r="A4268" t="s">
        <v>313</v>
      </c>
      <c r="B4268" t="s">
        <v>2300</v>
      </c>
      <c r="C4268" t="s">
        <v>13249</v>
      </c>
      <c r="D4268" t="s">
        <v>13250</v>
      </c>
      <c r="E4268" t="s">
        <v>58</v>
      </c>
      <c r="F4268" t="s">
        <v>24</v>
      </c>
      <c r="G4268" t="s">
        <v>12</v>
      </c>
      <c r="H4268">
        <f>51984*(1.01^10)</f>
        <v>57422.676567376067</v>
      </c>
      <c r="I4268">
        <f>258109*(1.01^10)</f>
        <v>285112.91216776066</v>
      </c>
      <c r="J4268" t="s">
        <v>13251</v>
      </c>
      <c r="K4268">
        <f t="shared" si="66"/>
        <v>238.40267588216756</v>
      </c>
    </row>
    <row r="4269" spans="1:11" x14ac:dyDescent="0.2">
      <c r="A4269" t="s">
        <v>313</v>
      </c>
      <c r="B4269" t="s">
        <v>2300</v>
      </c>
      <c r="C4269" t="s">
        <v>13252</v>
      </c>
      <c r="D4269" t="s">
        <v>2058</v>
      </c>
      <c r="E4269" t="s">
        <v>1549</v>
      </c>
      <c r="F4269" t="s">
        <v>17</v>
      </c>
      <c r="G4269" t="s">
        <v>158</v>
      </c>
      <c r="H4269">
        <f>144736*(1.01^10)</f>
        <v>159878.58794351612</v>
      </c>
      <c r="I4269">
        <f>684044*(1.01^10)</f>
        <v>755610.13715478219</v>
      </c>
      <c r="J4269" t="s">
        <v>13253</v>
      </c>
      <c r="K4269">
        <f t="shared" si="66"/>
        <v>497.3147844217919</v>
      </c>
    </row>
    <row r="4270" spans="1:11" x14ac:dyDescent="0.2">
      <c r="A4270" t="s">
        <v>313</v>
      </c>
      <c r="B4270" t="s">
        <v>2300</v>
      </c>
      <c r="C4270" t="s">
        <v>13254</v>
      </c>
      <c r="D4270" t="s">
        <v>13255</v>
      </c>
      <c r="E4270" t="s">
        <v>32</v>
      </c>
      <c r="F4270" t="s">
        <v>24</v>
      </c>
      <c r="G4270" t="s">
        <v>17</v>
      </c>
      <c r="H4270">
        <f>64707*(1.01^10)</f>
        <v>71476.78386898282</v>
      </c>
      <c r="I4270">
        <f>322823*(1.01^10)</f>
        <v>356597.42839162133</v>
      </c>
      <c r="J4270" t="s">
        <v>13256</v>
      </c>
      <c r="K4270">
        <f t="shared" si="66"/>
        <v>350.46774748805524</v>
      </c>
    </row>
    <row r="4271" spans="1:11" x14ac:dyDescent="0.2">
      <c r="A4271" t="s">
        <v>313</v>
      </c>
      <c r="B4271" t="s">
        <v>2300</v>
      </c>
      <c r="C4271" t="s">
        <v>13257</v>
      </c>
      <c r="D4271" t="s">
        <v>13258</v>
      </c>
      <c r="E4271" t="s">
        <v>386</v>
      </c>
      <c r="F4271" t="s">
        <v>24</v>
      </c>
      <c r="G4271" t="s">
        <v>24</v>
      </c>
      <c r="H4271">
        <f>56476*(1.01^10)</f>
        <v>62384.639154723198</v>
      </c>
      <c r="I4271">
        <f>274167*(1.01^10)</f>
        <v>302850.93425761379</v>
      </c>
      <c r="J4271" t="s">
        <v>13259</v>
      </c>
      <c r="K4271">
        <f t="shared" si="66"/>
        <v>163.10369143559555</v>
      </c>
    </row>
    <row r="4272" spans="1:11" x14ac:dyDescent="0.2">
      <c r="A4272" t="s">
        <v>313</v>
      </c>
      <c r="B4272" t="s">
        <v>2300</v>
      </c>
      <c r="C4272" t="s">
        <v>13260</v>
      </c>
      <c r="D4272" t="s">
        <v>13261</v>
      </c>
      <c r="E4272" t="s">
        <v>1215</v>
      </c>
      <c r="F4272" t="s">
        <v>24</v>
      </c>
      <c r="G4272" t="s">
        <v>12</v>
      </c>
      <c r="H4272">
        <f>65644*(1.01^10)</f>
        <v>72511.814800493128</v>
      </c>
      <c r="I4272">
        <f>315975*(1.01^10)</f>
        <v>349032.97607680544</v>
      </c>
      <c r="J4272" t="s">
        <v>13262</v>
      </c>
      <c r="K4272">
        <f t="shared" si="66"/>
        <v>217.76180486692544</v>
      </c>
    </row>
    <row r="4273" spans="1:11" x14ac:dyDescent="0.2">
      <c r="A4273" t="s">
        <v>313</v>
      </c>
      <c r="B4273" t="s">
        <v>2300</v>
      </c>
      <c r="C4273" t="s">
        <v>13263</v>
      </c>
      <c r="D4273" t="s">
        <v>13150</v>
      </c>
      <c r="E4273" t="s">
        <v>2283</v>
      </c>
      <c r="F4273" t="s">
        <v>24</v>
      </c>
      <c r="G4273" t="s">
        <v>12</v>
      </c>
      <c r="H4273">
        <f>50056*(1.01^10)</f>
        <v>55292.965109583267</v>
      </c>
      <c r="I4273">
        <f>235792*(1.01^10)</f>
        <v>260461.06019495879</v>
      </c>
      <c r="J4273" t="s">
        <v>13264</v>
      </c>
      <c r="K4273">
        <f t="shared" si="66"/>
        <v>174.59047900241234</v>
      </c>
    </row>
    <row r="4274" spans="1:11" x14ac:dyDescent="0.2">
      <c r="A4274" t="s">
        <v>313</v>
      </c>
      <c r="B4274" t="s">
        <v>2300</v>
      </c>
      <c r="C4274" t="s">
        <v>13265</v>
      </c>
      <c r="D4274" t="s">
        <v>13266</v>
      </c>
      <c r="E4274" t="s">
        <v>484</v>
      </c>
      <c r="F4274" t="s">
        <v>24</v>
      </c>
      <c r="G4274" t="s">
        <v>12</v>
      </c>
      <c r="H4274">
        <f>33706*(1.01^10)</f>
        <v>37232.393359110065</v>
      </c>
      <c r="I4274">
        <f>158380*(1.01^10)</f>
        <v>174950.0522226266</v>
      </c>
      <c r="J4274" t="s">
        <v>13267</v>
      </c>
      <c r="K4274">
        <f t="shared" si="66"/>
        <v>198.38305917202635</v>
      </c>
    </row>
    <row r="4275" spans="1:11" x14ac:dyDescent="0.2">
      <c r="A4275" t="s">
        <v>313</v>
      </c>
      <c r="B4275" t="s">
        <v>1486</v>
      </c>
      <c r="C4275" t="s">
        <v>13268</v>
      </c>
      <c r="D4275" t="s">
        <v>12680</v>
      </c>
      <c r="E4275" t="s">
        <v>123</v>
      </c>
      <c r="F4275" t="s">
        <v>24</v>
      </c>
      <c r="G4275" t="s">
        <v>12</v>
      </c>
      <c r="H4275">
        <f>53112*(1.01^10)</f>
        <v>58668.690324839903</v>
      </c>
      <c r="I4275">
        <f>243607*(1.01^10)</f>
        <v>269093.68210504734</v>
      </c>
      <c r="J4275" t="s">
        <v>13269</v>
      </c>
      <c r="K4275">
        <f t="shared" si="66"/>
        <v>182.58369946264943</v>
      </c>
    </row>
    <row r="4276" spans="1:11" x14ac:dyDescent="0.2">
      <c r="A4276" t="s">
        <v>313</v>
      </c>
      <c r="B4276" t="s">
        <v>1486</v>
      </c>
      <c r="C4276" t="s">
        <v>13270</v>
      </c>
      <c r="D4276" t="s">
        <v>13271</v>
      </c>
      <c r="E4276" t="s">
        <v>1002</v>
      </c>
      <c r="F4276" t="s">
        <v>24</v>
      </c>
      <c r="G4276" t="s">
        <v>24</v>
      </c>
      <c r="H4276">
        <f>25612*(1.01^10)</f>
        <v>28291.581876031774</v>
      </c>
      <c r="I4276">
        <f>125081*(1.01^10)</f>
        <v>138167.24006855889</v>
      </c>
      <c r="J4276" t="s">
        <v>13272</v>
      </c>
      <c r="K4276">
        <f t="shared" si="66"/>
        <v>178.89895389030309</v>
      </c>
    </row>
    <row r="4277" spans="1:11" x14ac:dyDescent="0.2">
      <c r="A4277" t="s">
        <v>313</v>
      </c>
      <c r="B4277" t="s">
        <v>1486</v>
      </c>
      <c r="C4277" t="s">
        <v>13273</v>
      </c>
      <c r="D4277" t="s">
        <v>13274</v>
      </c>
      <c r="E4277" t="s">
        <v>172</v>
      </c>
      <c r="F4277" t="s">
        <v>24</v>
      </c>
      <c r="G4277" t="s">
        <v>24</v>
      </c>
      <c r="H4277">
        <f>26642*(1.01^10)</f>
        <v>29429.342665205317</v>
      </c>
      <c r="I4277">
        <f>128583*(1.01^10)</f>
        <v>142035.62675174893</v>
      </c>
      <c r="J4277" t="s">
        <v>13275</v>
      </c>
      <c r="K4277">
        <f t="shared" si="66"/>
        <v>203.1750683065585</v>
      </c>
    </row>
    <row r="4278" spans="1:11" x14ac:dyDescent="0.2">
      <c r="A4278" t="s">
        <v>313</v>
      </c>
      <c r="B4278" t="s">
        <v>1486</v>
      </c>
      <c r="C4278" t="s">
        <v>13276</v>
      </c>
      <c r="D4278" t="s">
        <v>13277</v>
      </c>
      <c r="E4278" t="s">
        <v>133</v>
      </c>
      <c r="F4278" t="s">
        <v>5</v>
      </c>
      <c r="G4278" t="s">
        <v>12</v>
      </c>
      <c r="H4278">
        <f>68429*(1.01^10)</f>
        <v>75588.18741976333</v>
      </c>
      <c r="I4278">
        <f>338610*(1.01^10)</f>
        <v>374036.09788548807</v>
      </c>
      <c r="J4278" t="s">
        <v>13278</v>
      </c>
      <c r="K4278">
        <f t="shared" si="66"/>
        <v>264.39999567775158</v>
      </c>
    </row>
    <row r="4279" spans="1:11" x14ac:dyDescent="0.2">
      <c r="A4279" t="s">
        <v>313</v>
      </c>
      <c r="B4279" t="s">
        <v>1486</v>
      </c>
      <c r="C4279" t="s">
        <v>13279</v>
      </c>
      <c r="D4279" t="s">
        <v>13280</v>
      </c>
      <c r="E4279" t="s">
        <v>560</v>
      </c>
      <c r="F4279" t="s">
        <v>5</v>
      </c>
      <c r="G4279" t="s">
        <v>12</v>
      </c>
      <c r="H4279">
        <f>53602*(1.01^10)</f>
        <v>59209.955166291395</v>
      </c>
      <c r="I4279">
        <f>255181*(1.01^10)</f>
        <v>281878.57858455664</v>
      </c>
      <c r="J4279" t="s">
        <v>13281</v>
      </c>
      <c r="K4279">
        <f t="shared" si="66"/>
        <v>309.49140141917547</v>
      </c>
    </row>
    <row r="4280" spans="1:11" x14ac:dyDescent="0.2">
      <c r="A4280" t="s">
        <v>313</v>
      </c>
      <c r="B4280" t="s">
        <v>1486</v>
      </c>
      <c r="C4280" t="s">
        <v>13282</v>
      </c>
      <c r="D4280" t="s">
        <v>13283</v>
      </c>
      <c r="E4280" t="s">
        <v>789</v>
      </c>
      <c r="F4280" t="s">
        <v>24</v>
      </c>
      <c r="G4280" t="s">
        <v>24</v>
      </c>
      <c r="H4280">
        <f>18339*(1.01^10)</f>
        <v>20257.665157916083</v>
      </c>
      <c r="I4280">
        <f>87685*(1.01^10)</f>
        <v>96858.791066681486</v>
      </c>
      <c r="J4280" t="s">
        <v>13284</v>
      </c>
      <c r="K4280">
        <f t="shared" si="66"/>
        <v>214.88838591356765</v>
      </c>
    </row>
    <row r="4281" spans="1:11" x14ac:dyDescent="0.2">
      <c r="A4281" t="s">
        <v>313</v>
      </c>
      <c r="B4281" t="s">
        <v>1486</v>
      </c>
      <c r="C4281" t="s">
        <v>13285</v>
      </c>
      <c r="D4281" t="s">
        <v>13286</v>
      </c>
      <c r="E4281" t="s">
        <v>1032</v>
      </c>
      <c r="F4281" t="s">
        <v>17</v>
      </c>
      <c r="G4281" t="s">
        <v>17</v>
      </c>
      <c r="H4281">
        <f>99251*(1.01^10)</f>
        <v>109634.85056918749</v>
      </c>
      <c r="I4281">
        <f>481195*(1.01^10)</f>
        <v>531538.64363724471</v>
      </c>
      <c r="J4281" t="s">
        <v>13287</v>
      </c>
      <c r="K4281">
        <f t="shared" si="66"/>
        <v>342.84631645171459</v>
      </c>
    </row>
    <row r="4282" spans="1:11" x14ac:dyDescent="0.2">
      <c r="A4282" t="s">
        <v>313</v>
      </c>
      <c r="B4282" t="s">
        <v>1486</v>
      </c>
      <c r="C4282" t="s">
        <v>13288</v>
      </c>
      <c r="D4282" t="s">
        <v>13289</v>
      </c>
      <c r="E4282" t="s">
        <v>560</v>
      </c>
      <c r="F4282" t="s">
        <v>24</v>
      </c>
      <c r="G4282" t="s">
        <v>12</v>
      </c>
      <c r="H4282">
        <f>52655*(1.01^10)</f>
        <v>58163.878013526984</v>
      </c>
      <c r="I4282">
        <f>243832*(1.01^10)</f>
        <v>269342.2220832649</v>
      </c>
      <c r="J4282" t="s">
        <v>13290</v>
      </c>
      <c r="K4282">
        <f t="shared" si="66"/>
        <v>232.87815981883219</v>
      </c>
    </row>
    <row r="4283" spans="1:11" x14ac:dyDescent="0.2">
      <c r="A4283" t="s">
        <v>313</v>
      </c>
      <c r="B4283" t="s">
        <v>1486</v>
      </c>
      <c r="C4283" t="s">
        <v>13291</v>
      </c>
      <c r="D4283" t="s">
        <v>13292</v>
      </c>
      <c r="E4283" t="s">
        <v>998</v>
      </c>
      <c r="F4283" t="s">
        <v>12</v>
      </c>
      <c r="G4283" t="s">
        <v>12</v>
      </c>
      <c r="H4283">
        <f>25274*(1.01^10)</f>
        <v>27918.21959764279</v>
      </c>
      <c r="I4283">
        <f>122110*(1.01^10)</f>
        <v>134885.4077339622</v>
      </c>
      <c r="J4283" t="s">
        <v>13293</v>
      </c>
      <c r="K4283">
        <f t="shared" si="66"/>
        <v>229.63517889981478</v>
      </c>
    </row>
    <row r="4284" spans="1:11" x14ac:dyDescent="0.2">
      <c r="A4284" t="s">
        <v>313</v>
      </c>
      <c r="B4284" t="s">
        <v>1486</v>
      </c>
      <c r="C4284" t="s">
        <v>13294</v>
      </c>
      <c r="D4284" t="s">
        <v>13295</v>
      </c>
      <c r="E4284" t="s">
        <v>1002</v>
      </c>
      <c r="F4284" t="s">
        <v>24</v>
      </c>
      <c r="G4284" t="s">
        <v>12</v>
      </c>
      <c r="H4284">
        <f>57806*(1.01^10)</f>
        <v>63853.7865815201</v>
      </c>
      <c r="I4284">
        <f>287208*(1.01^10)</f>
        <v>317256.31139510131</v>
      </c>
      <c r="J4284" t="s">
        <v>13296</v>
      </c>
      <c r="K4284">
        <f t="shared" si="66"/>
        <v>388.91841934329727</v>
      </c>
    </row>
    <row r="4285" spans="1:11" x14ac:dyDescent="0.2">
      <c r="A4285" t="s">
        <v>313</v>
      </c>
      <c r="B4285" t="s">
        <v>1486</v>
      </c>
      <c r="C4285" t="s">
        <v>13297</v>
      </c>
      <c r="D4285" t="s">
        <v>13298</v>
      </c>
      <c r="E4285" t="s">
        <v>1549</v>
      </c>
      <c r="F4285" t="s">
        <v>24</v>
      </c>
      <c r="G4285" t="s">
        <v>12</v>
      </c>
      <c r="H4285">
        <f>55113*(1.01^10)</f>
        <v>60879.03919778773</v>
      </c>
      <c r="I4285">
        <f>271957*(1.01^10)</f>
        <v>300409.719360455</v>
      </c>
      <c r="J4285" t="s">
        <v>351</v>
      </c>
      <c r="K4285">
        <f t="shared" si="66"/>
        <v>348.69327749521784</v>
      </c>
    </row>
    <row r="4286" spans="1:11" x14ac:dyDescent="0.2">
      <c r="A4286" t="s">
        <v>313</v>
      </c>
      <c r="B4286" t="s">
        <v>13299</v>
      </c>
      <c r="C4286" t="s">
        <v>13300</v>
      </c>
      <c r="D4286" t="s">
        <v>13301</v>
      </c>
      <c r="E4286" t="s">
        <v>2283</v>
      </c>
      <c r="F4286" t="s">
        <v>17</v>
      </c>
      <c r="G4286" t="s">
        <v>17</v>
      </c>
      <c r="H4286">
        <f>133886*(1.01^10)</f>
        <v>147893.43788280454</v>
      </c>
      <c r="I4286">
        <f>683666*(1.01^10)</f>
        <v>755192.58999137674</v>
      </c>
      <c r="J4286" t="s">
        <v>13302</v>
      </c>
      <c r="K4286">
        <f t="shared" si="66"/>
        <v>748.47131755969065</v>
      </c>
    </row>
    <row r="4287" spans="1:11" x14ac:dyDescent="0.2">
      <c r="A4287" t="s">
        <v>313</v>
      </c>
      <c r="B4287" t="s">
        <v>13299</v>
      </c>
      <c r="C4287" t="s">
        <v>13303</v>
      </c>
      <c r="D4287" t="s">
        <v>13304</v>
      </c>
      <c r="E4287" t="s">
        <v>1229</v>
      </c>
      <c r="F4287" t="s">
        <v>24</v>
      </c>
      <c r="G4287" t="s">
        <v>24</v>
      </c>
      <c r="H4287">
        <f>28821*(1.01^10)</f>
        <v>31836.314276476332</v>
      </c>
      <c r="I4287">
        <f>142187*(1.01^10)</f>
        <v>157062.90614584298</v>
      </c>
      <c r="J4287" t="s">
        <v>13305</v>
      </c>
      <c r="K4287">
        <f t="shared" si="66"/>
        <v>281.52014867244355</v>
      </c>
    </row>
    <row r="4288" spans="1:11" x14ac:dyDescent="0.2">
      <c r="A4288" t="s">
        <v>313</v>
      </c>
      <c r="B4288" t="s">
        <v>13299</v>
      </c>
      <c r="C4288" t="s">
        <v>13306</v>
      </c>
      <c r="D4288" t="s">
        <v>13307</v>
      </c>
      <c r="E4288" t="s">
        <v>404</v>
      </c>
      <c r="F4288" t="s">
        <v>24</v>
      </c>
      <c r="G4288" t="s">
        <v>12</v>
      </c>
      <c r="H4288">
        <f>47096*(1.01^10)</f>
        <v>52023.283618366098</v>
      </c>
      <c r="I4288">
        <f>236168*(1.01^10)</f>
        <v>260876.3981141134</v>
      </c>
      <c r="J4288" t="s">
        <v>13308</v>
      </c>
      <c r="K4288">
        <f t="shared" si="66"/>
        <v>337.08880633938497</v>
      </c>
    </row>
    <row r="4289" spans="1:11" x14ac:dyDescent="0.2">
      <c r="A4289" t="s">
        <v>313</v>
      </c>
      <c r="B4289" t="s">
        <v>13299</v>
      </c>
      <c r="C4289" t="s">
        <v>13309</v>
      </c>
      <c r="D4289" t="s">
        <v>13310</v>
      </c>
      <c r="E4289" t="s">
        <v>764</v>
      </c>
      <c r="F4289" t="s">
        <v>24</v>
      </c>
      <c r="G4289" t="s">
        <v>24</v>
      </c>
      <c r="H4289">
        <f>16621*(1.01^10)</f>
        <v>18359.924346459633</v>
      </c>
      <c r="I4289">
        <f>87201*(1.01^10)</f>
        <v>96324.15395798246</v>
      </c>
      <c r="J4289" t="s">
        <v>13311</v>
      </c>
      <c r="K4289">
        <f t="shared" si="66"/>
        <v>266.99601950822534</v>
      </c>
    </row>
    <row r="4290" spans="1:11" x14ac:dyDescent="0.2">
      <c r="A4290" t="s">
        <v>313</v>
      </c>
      <c r="B4290" t="s">
        <v>13299</v>
      </c>
      <c r="C4290" t="s">
        <v>13312</v>
      </c>
      <c r="D4290" t="s">
        <v>13313</v>
      </c>
      <c r="E4290" t="s">
        <v>1101</v>
      </c>
      <c r="F4290" t="s">
        <v>17</v>
      </c>
      <c r="G4290" t="s">
        <v>24</v>
      </c>
      <c r="H4290">
        <f>34801*(1.01^10)</f>
        <v>38441.954586435335</v>
      </c>
      <c r="I4290">
        <f>177956*(1.01^10)</f>
        <v>196574.13494967634</v>
      </c>
      <c r="J4290" t="s">
        <v>13314</v>
      </c>
      <c r="K4290">
        <f t="shared" si="66"/>
        <v>287.48995985386154</v>
      </c>
    </row>
    <row r="4291" spans="1:11" x14ac:dyDescent="0.2">
      <c r="A4291" t="s">
        <v>313</v>
      </c>
      <c r="B4291" t="s">
        <v>13299</v>
      </c>
      <c r="C4291" t="s">
        <v>13315</v>
      </c>
      <c r="D4291" t="s">
        <v>13316</v>
      </c>
      <c r="E4291" t="s">
        <v>2795</v>
      </c>
      <c r="F4291" t="s">
        <v>24</v>
      </c>
      <c r="G4291" t="s">
        <v>24</v>
      </c>
      <c r="H4291">
        <f>16468*(1.01^10)</f>
        <v>18190.917161271718</v>
      </c>
      <c r="I4291">
        <f>83528*(1.01^10)</f>
        <v>92266.876891347114</v>
      </c>
      <c r="J4291" t="s">
        <v>13317</v>
      </c>
      <c r="K4291">
        <f t="shared" ref="K4291:K4354" si="67">I4291/J4291</f>
        <v>288.22590557087062</v>
      </c>
    </row>
    <row r="4292" spans="1:11" x14ac:dyDescent="0.2">
      <c r="A4292" t="s">
        <v>313</v>
      </c>
      <c r="B4292" t="s">
        <v>13299</v>
      </c>
      <c r="C4292" t="s">
        <v>13318</v>
      </c>
      <c r="D4292" t="s">
        <v>13319</v>
      </c>
      <c r="E4292" t="s">
        <v>282</v>
      </c>
      <c r="F4292" t="s">
        <v>5</v>
      </c>
      <c r="G4292" t="s">
        <v>12</v>
      </c>
      <c r="H4292">
        <f>64439*(1.01^10)</f>
        <v>71180.745139372622</v>
      </c>
      <c r="I4292">
        <f>309571*(1.01^10)</f>
        <v>341958.97598567209</v>
      </c>
      <c r="J4292" t="s">
        <v>13320</v>
      </c>
      <c r="K4292">
        <f t="shared" si="67"/>
        <v>280.28275561302576</v>
      </c>
    </row>
    <row r="4293" spans="1:11" x14ac:dyDescent="0.2">
      <c r="A4293" t="s">
        <v>313</v>
      </c>
      <c r="B4293" t="s">
        <v>13299</v>
      </c>
      <c r="C4293" t="s">
        <v>13321</v>
      </c>
      <c r="D4293" t="s">
        <v>13322</v>
      </c>
      <c r="E4293" t="s">
        <v>453</v>
      </c>
      <c r="F4293" t="s">
        <v>405</v>
      </c>
      <c r="G4293" t="s">
        <v>12</v>
      </c>
      <c r="H4293">
        <f>63841*(1.01^10)</f>
        <v>70520.181108376724</v>
      </c>
      <c r="I4293">
        <f>325255*(1.01^10)</f>
        <v>359283.86940062139</v>
      </c>
      <c r="J4293" t="s">
        <v>13323</v>
      </c>
      <c r="K4293">
        <f t="shared" si="67"/>
        <v>332.69489351120581</v>
      </c>
    </row>
    <row r="4294" spans="1:11" x14ac:dyDescent="0.2">
      <c r="A4294" t="s">
        <v>313</v>
      </c>
      <c r="B4294" t="s">
        <v>13299</v>
      </c>
      <c r="C4294" t="s">
        <v>13324</v>
      </c>
      <c r="D4294" t="s">
        <v>13325</v>
      </c>
      <c r="E4294" t="s">
        <v>619</v>
      </c>
      <c r="F4294" t="s">
        <v>12</v>
      </c>
      <c r="G4294" t="s">
        <v>24</v>
      </c>
      <c r="H4294">
        <f>18793*(1.01^10)</f>
        <v>20759.163602852772</v>
      </c>
      <c r="I4294">
        <f>97598*(1.01^10)</f>
        <v>107808.91019588277</v>
      </c>
      <c r="J4294" t="s">
        <v>13326</v>
      </c>
      <c r="K4294">
        <f t="shared" si="67"/>
        <v>259.58034815535677</v>
      </c>
    </row>
    <row r="4295" spans="1:11" x14ac:dyDescent="0.2">
      <c r="A4295" t="s">
        <v>313</v>
      </c>
      <c r="B4295" t="s">
        <v>13299</v>
      </c>
      <c r="C4295" t="s">
        <v>13327</v>
      </c>
      <c r="D4295" t="s">
        <v>13328</v>
      </c>
      <c r="E4295" t="s">
        <v>611</v>
      </c>
      <c r="F4295" t="s">
        <v>12</v>
      </c>
      <c r="G4295" t="s">
        <v>17</v>
      </c>
      <c r="H4295">
        <f>56806*(1.01^10)</f>
        <v>62749.164456108898</v>
      </c>
      <c r="I4295">
        <f>311066*(1.01^10)</f>
        <v>343610.38606316183</v>
      </c>
      <c r="J4295" t="s">
        <v>13329</v>
      </c>
      <c r="K4295">
        <f t="shared" si="67"/>
        <v>466.69707177241986</v>
      </c>
    </row>
    <row r="4296" spans="1:11" x14ac:dyDescent="0.2">
      <c r="A4296" t="s">
        <v>313</v>
      </c>
      <c r="B4296" t="s">
        <v>1490</v>
      </c>
      <c r="C4296" t="s">
        <v>13330</v>
      </c>
      <c r="D4296" t="s">
        <v>13331</v>
      </c>
      <c r="E4296" t="s">
        <v>36</v>
      </c>
      <c r="F4296" t="s">
        <v>12</v>
      </c>
      <c r="G4296" t="s">
        <v>12</v>
      </c>
      <c r="H4296">
        <f>29554*(1.01^10)</f>
        <v>32646.002294402744</v>
      </c>
      <c r="I4296">
        <f>140148*(1.01^10)</f>
        <v>154810.58163212953</v>
      </c>
      <c r="J4296" t="s">
        <v>13332</v>
      </c>
      <c r="K4296">
        <f t="shared" si="67"/>
        <v>185.69767609741209</v>
      </c>
    </row>
    <row r="4297" spans="1:11" x14ac:dyDescent="0.2">
      <c r="A4297" t="s">
        <v>313</v>
      </c>
      <c r="B4297" t="s">
        <v>1490</v>
      </c>
      <c r="C4297" t="s">
        <v>13333</v>
      </c>
      <c r="D4297" t="s">
        <v>13334</v>
      </c>
      <c r="E4297" t="s">
        <v>36</v>
      </c>
      <c r="F4297" t="s">
        <v>12</v>
      </c>
      <c r="G4297" t="s">
        <v>12</v>
      </c>
      <c r="H4297">
        <f>29976*(1.01^10)</f>
        <v>33112.152831326275</v>
      </c>
      <c r="I4297">
        <f>136745*(1.01^10)</f>
        <v>151051.55253935518</v>
      </c>
      <c r="J4297" t="s">
        <v>13335</v>
      </c>
      <c r="K4297">
        <f t="shared" si="67"/>
        <v>185.20525330050046</v>
      </c>
    </row>
    <row r="4298" spans="1:11" x14ac:dyDescent="0.2">
      <c r="A4298" t="s">
        <v>313</v>
      </c>
      <c r="B4298" t="s">
        <v>1490</v>
      </c>
      <c r="C4298" t="s">
        <v>13336</v>
      </c>
      <c r="D4298" t="s">
        <v>13337</v>
      </c>
      <c r="E4298" t="s">
        <v>1580</v>
      </c>
      <c r="F4298" t="s">
        <v>24</v>
      </c>
      <c r="G4298" t="s">
        <v>24</v>
      </c>
      <c r="H4298">
        <f>20941*(1.01^10)</f>
        <v>23131.89192823604</v>
      </c>
      <c r="I4298">
        <f>92150*(1.01^10)</f>
        <v>101790.92885664252</v>
      </c>
      <c r="J4298" t="s">
        <v>13338</v>
      </c>
      <c r="K4298">
        <f t="shared" si="67"/>
        <v>179.27882076973921</v>
      </c>
    </row>
    <row r="4299" spans="1:11" x14ac:dyDescent="0.2">
      <c r="A4299" t="s">
        <v>313</v>
      </c>
      <c r="B4299" t="s">
        <v>1490</v>
      </c>
      <c r="C4299" t="s">
        <v>13339</v>
      </c>
      <c r="D4299" t="s">
        <v>12871</v>
      </c>
      <c r="E4299" t="s">
        <v>172</v>
      </c>
      <c r="F4299" t="s">
        <v>24</v>
      </c>
      <c r="G4299" t="s">
        <v>12</v>
      </c>
      <c r="H4299">
        <f>46810*(1.01^10)</f>
        <v>51707.361690498496</v>
      </c>
      <c r="I4299">
        <f>217687*(1.01^10)</f>
        <v>240461.87661438892</v>
      </c>
      <c r="J4299" t="s">
        <v>13340</v>
      </c>
      <c r="K4299">
        <f t="shared" si="67"/>
        <v>251.25320162414602</v>
      </c>
    </row>
    <row r="4300" spans="1:11" x14ac:dyDescent="0.2">
      <c r="A4300" t="s">
        <v>313</v>
      </c>
      <c r="B4300" t="s">
        <v>1490</v>
      </c>
      <c r="C4300" t="s">
        <v>13341</v>
      </c>
      <c r="D4300" t="s">
        <v>13342</v>
      </c>
      <c r="E4300" t="s">
        <v>1912</v>
      </c>
      <c r="F4300" t="s">
        <v>11</v>
      </c>
      <c r="G4300" t="s">
        <v>12</v>
      </c>
      <c r="H4300">
        <f>85251*(1.01^10)</f>
        <v>94170.140813430611</v>
      </c>
      <c r="I4300">
        <f>405736*(1.01^10)</f>
        <v>448184.96267584059</v>
      </c>
      <c r="J4300" t="s">
        <v>13343</v>
      </c>
      <c r="K4300">
        <f t="shared" si="67"/>
        <v>332.67392309781667</v>
      </c>
    </row>
    <row r="4301" spans="1:11" x14ac:dyDescent="0.2">
      <c r="A4301" t="s">
        <v>313</v>
      </c>
      <c r="B4301" t="s">
        <v>1490</v>
      </c>
      <c r="C4301" t="s">
        <v>13344</v>
      </c>
      <c r="D4301" t="s">
        <v>13345</v>
      </c>
      <c r="E4301" t="s">
        <v>404</v>
      </c>
      <c r="F4301" t="s">
        <v>24</v>
      </c>
      <c r="G4301" t="s">
        <v>17</v>
      </c>
      <c r="H4301">
        <f>57243*(1.01^10)</f>
        <v>63231.88432491359</v>
      </c>
      <c r="I4301">
        <f>278879*(1.01^10)</f>
        <v>308055.91371255135</v>
      </c>
      <c r="J4301" t="s">
        <v>13346</v>
      </c>
      <c r="K4301">
        <f t="shared" si="67"/>
        <v>205.20097633459764</v>
      </c>
    </row>
    <row r="4302" spans="1:11" x14ac:dyDescent="0.2">
      <c r="A4302" t="s">
        <v>313</v>
      </c>
      <c r="B4302" t="s">
        <v>1490</v>
      </c>
      <c r="C4302" t="s">
        <v>13347</v>
      </c>
      <c r="D4302" t="s">
        <v>13348</v>
      </c>
      <c r="E4302" t="s">
        <v>764</v>
      </c>
      <c r="F4302" t="s">
        <v>24</v>
      </c>
      <c r="G4302" t="s">
        <v>24</v>
      </c>
      <c r="H4302">
        <f>26232*(1.01^10)</f>
        <v>28976.447593786725</v>
      </c>
      <c r="I4302">
        <f>116712*(1.01^10)</f>
        <v>128922.65750099253</v>
      </c>
      <c r="J4302" t="s">
        <v>13349</v>
      </c>
      <c r="K4302">
        <f t="shared" si="67"/>
        <v>229.04924404113373</v>
      </c>
    </row>
    <row r="4303" spans="1:11" x14ac:dyDescent="0.2">
      <c r="A4303" t="s">
        <v>313</v>
      </c>
      <c r="B4303" t="s">
        <v>1490</v>
      </c>
      <c r="C4303" t="s">
        <v>13350</v>
      </c>
      <c r="D4303" t="s">
        <v>13351</v>
      </c>
      <c r="E4303" t="s">
        <v>32</v>
      </c>
      <c r="F4303" t="s">
        <v>24</v>
      </c>
      <c r="G4303" t="s">
        <v>17</v>
      </c>
      <c r="H4303">
        <f>55274*(1.01^10)</f>
        <v>61056.883359978929</v>
      </c>
      <c r="I4303">
        <f>269519*(1.01^10)</f>
        <v>297716.65061870246</v>
      </c>
      <c r="J4303" t="s">
        <v>13352</v>
      </c>
      <c r="K4303">
        <f t="shared" si="67"/>
        <v>302.68368997112867</v>
      </c>
    </row>
    <row r="4304" spans="1:11" x14ac:dyDescent="0.2">
      <c r="A4304" t="s">
        <v>313</v>
      </c>
      <c r="B4304" t="s">
        <v>13353</v>
      </c>
      <c r="C4304" t="s">
        <v>13354</v>
      </c>
      <c r="D4304" t="s">
        <v>13355</v>
      </c>
      <c r="E4304" t="s">
        <v>479</v>
      </c>
      <c r="F4304" t="s">
        <v>12</v>
      </c>
      <c r="G4304" t="s">
        <v>12</v>
      </c>
      <c r="H4304">
        <f>53719*(1.01^10)</f>
        <v>59339.195954964511</v>
      </c>
      <c r="I4304">
        <f>254489*(1.01^10)</f>
        <v>281114.18007377209</v>
      </c>
      <c r="J4304" t="s">
        <v>13356</v>
      </c>
      <c r="K4304">
        <f t="shared" si="67"/>
        <v>176.46730408081061</v>
      </c>
    </row>
    <row r="4305" spans="1:11" x14ac:dyDescent="0.2">
      <c r="A4305" t="s">
        <v>313</v>
      </c>
      <c r="B4305" t="s">
        <v>13353</v>
      </c>
      <c r="C4305" t="s">
        <v>13357</v>
      </c>
      <c r="D4305" t="s">
        <v>13358</v>
      </c>
      <c r="E4305" t="s">
        <v>315</v>
      </c>
      <c r="F4305" t="s">
        <v>12</v>
      </c>
      <c r="G4305" t="s">
        <v>12</v>
      </c>
      <c r="H4305">
        <f>66795*(1.01^10)</f>
        <v>73783.23486684142</v>
      </c>
      <c r="I4305">
        <f>324027*(1.01^10)</f>
        <v>357927.39343061642</v>
      </c>
      <c r="J4305" t="s">
        <v>13359</v>
      </c>
      <c r="K4305">
        <f t="shared" si="67"/>
        <v>234.88207147022459</v>
      </c>
    </row>
    <row r="4306" spans="1:11" x14ac:dyDescent="0.2">
      <c r="A4306" t="s">
        <v>313</v>
      </c>
      <c r="B4306" t="s">
        <v>13353</v>
      </c>
      <c r="C4306" t="s">
        <v>13360</v>
      </c>
      <c r="D4306" t="s">
        <v>13361</v>
      </c>
      <c r="E4306" t="s">
        <v>771</v>
      </c>
      <c r="F4306" t="s">
        <v>17</v>
      </c>
      <c r="G4306" t="s">
        <v>12</v>
      </c>
      <c r="H4306">
        <f>79969*(1.01^10)</f>
        <v>88335.526747008626</v>
      </c>
      <c r="I4306">
        <f>372711*(1.01^10)</f>
        <v>411704.81698413554</v>
      </c>
      <c r="J4306" t="s">
        <v>13362</v>
      </c>
      <c r="K4306">
        <f t="shared" si="67"/>
        <v>267.05639253271551</v>
      </c>
    </row>
    <row r="4307" spans="1:11" x14ac:dyDescent="0.2">
      <c r="A4307" t="s">
        <v>313</v>
      </c>
      <c r="B4307" t="s">
        <v>13353</v>
      </c>
      <c r="C4307" t="s">
        <v>13363</v>
      </c>
      <c r="D4307" t="s">
        <v>13364</v>
      </c>
      <c r="E4307" t="s">
        <v>829</v>
      </c>
      <c r="F4307" t="s">
        <v>12</v>
      </c>
      <c r="G4307" t="s">
        <v>12</v>
      </c>
      <c r="H4307">
        <f>209953*(1.01^10)</f>
        <v>231918.72909645867</v>
      </c>
      <c r="I4307">
        <f>1057352*(1.01^10)</f>
        <v>1167974.413547788</v>
      </c>
      <c r="J4307" t="s">
        <v>13365</v>
      </c>
      <c r="K4307">
        <f t="shared" si="67"/>
        <v>1679.5237605300224</v>
      </c>
    </row>
    <row r="4308" spans="1:11" x14ac:dyDescent="0.2">
      <c r="A4308" t="s">
        <v>313</v>
      </c>
      <c r="B4308" t="s">
        <v>13353</v>
      </c>
      <c r="C4308" t="s">
        <v>13366</v>
      </c>
      <c r="D4308" t="s">
        <v>13367</v>
      </c>
      <c r="E4308" t="s">
        <v>28</v>
      </c>
      <c r="F4308" t="s">
        <v>17</v>
      </c>
      <c r="G4308" t="s">
        <v>24</v>
      </c>
      <c r="H4308">
        <f>56836*(1.01^10)</f>
        <v>62782.303119871234</v>
      </c>
      <c r="I4308">
        <f>276920*(1.01^10)</f>
        <v>305891.95896887081</v>
      </c>
      <c r="J4308" t="s">
        <v>13368</v>
      </c>
      <c r="K4308">
        <f t="shared" si="67"/>
        <v>230.91413827196408</v>
      </c>
    </row>
    <row r="4309" spans="1:11" x14ac:dyDescent="0.2">
      <c r="A4309" t="s">
        <v>313</v>
      </c>
      <c r="B4309" t="s">
        <v>13353</v>
      </c>
      <c r="C4309" t="s">
        <v>13369</v>
      </c>
      <c r="D4309" t="s">
        <v>13370</v>
      </c>
      <c r="E4309" t="s">
        <v>977</v>
      </c>
      <c r="F4309" t="s">
        <v>17</v>
      </c>
      <c r="G4309" t="s">
        <v>12</v>
      </c>
      <c r="H4309">
        <f>88637*(1.01^10)</f>
        <v>97910.391330072962</v>
      </c>
      <c r="I4309">
        <f>442368*(1.01^10)</f>
        <v>488649.48037390382</v>
      </c>
      <c r="J4309" t="s">
        <v>13371</v>
      </c>
      <c r="K4309">
        <f t="shared" si="67"/>
        <v>377.97763023971521</v>
      </c>
    </row>
    <row r="4310" spans="1:11" x14ac:dyDescent="0.2">
      <c r="A4310" t="s">
        <v>313</v>
      </c>
      <c r="B4310" t="s">
        <v>13353</v>
      </c>
      <c r="C4310" t="s">
        <v>13372</v>
      </c>
      <c r="D4310" t="s">
        <v>13373</v>
      </c>
      <c r="E4310" t="s">
        <v>1215</v>
      </c>
      <c r="F4310" t="s">
        <v>24</v>
      </c>
      <c r="G4310" t="s">
        <v>11</v>
      </c>
      <c r="H4310">
        <f>99572*(1.01^10)</f>
        <v>109989.43427144448</v>
      </c>
      <c r="I4310">
        <f>485645*(1.01^10)</f>
        <v>536454.21209532453</v>
      </c>
      <c r="J4310" t="s">
        <v>13374</v>
      </c>
      <c r="K4310">
        <f t="shared" si="67"/>
        <v>333.619953043772</v>
      </c>
    </row>
    <row r="4311" spans="1:11" x14ac:dyDescent="0.2">
      <c r="A4311" t="s">
        <v>313</v>
      </c>
      <c r="B4311" t="s">
        <v>13353</v>
      </c>
      <c r="C4311" t="s">
        <v>13375</v>
      </c>
      <c r="D4311" t="s">
        <v>13376</v>
      </c>
      <c r="E4311" t="s">
        <v>28</v>
      </c>
      <c r="F4311" t="s">
        <v>24</v>
      </c>
      <c r="G4311" t="s">
        <v>12</v>
      </c>
      <c r="H4311">
        <f>64708*(1.01^10)</f>
        <v>71477.888491108242</v>
      </c>
      <c r="I4311">
        <f>322845*(1.01^10)</f>
        <v>356621.73007838038</v>
      </c>
      <c r="J4311" t="s">
        <v>13377</v>
      </c>
      <c r="K4311">
        <f t="shared" si="67"/>
        <v>227.56359081785197</v>
      </c>
    </row>
    <row r="4312" spans="1:11" x14ac:dyDescent="0.2">
      <c r="A4312" t="s">
        <v>313</v>
      </c>
      <c r="B4312" t="s">
        <v>13353</v>
      </c>
      <c r="C4312" t="s">
        <v>13378</v>
      </c>
      <c r="D4312" t="s">
        <v>13379</v>
      </c>
      <c r="E4312" t="s">
        <v>1195</v>
      </c>
      <c r="F4312" t="s">
        <v>24</v>
      </c>
      <c r="G4312" t="s">
        <v>12</v>
      </c>
      <c r="H4312">
        <f>41774*(1.01^10)</f>
        <v>46144.484666927667</v>
      </c>
      <c r="I4312">
        <f>205932*(1.01^10)</f>
        <v>227477.04353018021</v>
      </c>
      <c r="J4312" t="s">
        <v>13380</v>
      </c>
      <c r="K4312">
        <f t="shared" si="67"/>
        <v>198.68378885003335</v>
      </c>
    </row>
    <row r="4313" spans="1:11" x14ac:dyDescent="0.2">
      <c r="A4313" t="s">
        <v>313</v>
      </c>
      <c r="B4313" t="s">
        <v>13353</v>
      </c>
      <c r="C4313" t="s">
        <v>13381</v>
      </c>
      <c r="D4313" t="s">
        <v>13382</v>
      </c>
      <c r="E4313" t="s">
        <v>1060</v>
      </c>
      <c r="F4313" t="s">
        <v>24</v>
      </c>
      <c r="G4313" t="s">
        <v>24</v>
      </c>
      <c r="H4313">
        <f>51230*(1.01^10)</f>
        <v>56589.791484816022</v>
      </c>
      <c r="I4313">
        <f>260897*(1.01^10)</f>
        <v>288192.59865340707</v>
      </c>
      <c r="J4313" t="s">
        <v>13034</v>
      </c>
      <c r="K4313">
        <f t="shared" si="67"/>
        <v>242.26619589717887</v>
      </c>
    </row>
    <row r="4314" spans="1:11" x14ac:dyDescent="0.2">
      <c r="A4314" t="s">
        <v>313</v>
      </c>
      <c r="B4314" t="s">
        <v>13353</v>
      </c>
      <c r="C4314" t="s">
        <v>13383</v>
      </c>
      <c r="D4314" t="s">
        <v>13384</v>
      </c>
      <c r="E4314" t="s">
        <v>2777</v>
      </c>
      <c r="F4314" t="s">
        <v>17</v>
      </c>
      <c r="G4314" t="s">
        <v>11</v>
      </c>
      <c r="H4314">
        <f>59974*(1.01^10)</f>
        <v>66248.607349411599</v>
      </c>
      <c r="I4314">
        <f>314570*(1.01^10)</f>
        <v>347480.98199060268</v>
      </c>
      <c r="J4314" t="s">
        <v>13385</v>
      </c>
      <c r="K4314">
        <f t="shared" si="67"/>
        <v>245.74848263442837</v>
      </c>
    </row>
    <row r="4315" spans="1:11" x14ac:dyDescent="0.2">
      <c r="A4315" t="s">
        <v>313</v>
      </c>
      <c r="B4315" t="s">
        <v>3112</v>
      </c>
      <c r="C4315" t="s">
        <v>13386</v>
      </c>
      <c r="D4315" t="s">
        <v>13387</v>
      </c>
      <c r="E4315" t="s">
        <v>1303</v>
      </c>
      <c r="F4315" t="s">
        <v>12</v>
      </c>
      <c r="G4315" t="s">
        <v>17</v>
      </c>
      <c r="H4315">
        <f>14841*(1.01^10)</f>
        <v>16393.696963227689</v>
      </c>
      <c r="I4315">
        <f>72830*(1.01^10)</f>
        <v>80449.629393698036</v>
      </c>
      <c r="J4315" t="s">
        <v>13388</v>
      </c>
      <c r="K4315">
        <f t="shared" si="67"/>
        <v>171.03841609341362</v>
      </c>
    </row>
    <row r="4316" spans="1:11" x14ac:dyDescent="0.2">
      <c r="A4316" t="s">
        <v>313</v>
      </c>
      <c r="B4316" t="s">
        <v>3112</v>
      </c>
      <c r="C4316" t="s">
        <v>13389</v>
      </c>
      <c r="D4316" t="s">
        <v>13390</v>
      </c>
      <c r="E4316" t="s">
        <v>282</v>
      </c>
      <c r="F4316" t="s">
        <v>24</v>
      </c>
      <c r="G4316" t="s">
        <v>17</v>
      </c>
      <c r="H4316">
        <f>45050*(1.01^10)</f>
        <v>49763.226749774774</v>
      </c>
      <c r="I4316">
        <f>200269*(1.01^10)</f>
        <v>221221.56843397656</v>
      </c>
      <c r="J4316" t="s">
        <v>13391</v>
      </c>
      <c r="K4316">
        <f t="shared" si="67"/>
        <v>354.44790097251627</v>
      </c>
    </row>
    <row r="4317" spans="1:11" x14ac:dyDescent="0.2">
      <c r="A4317" t="s">
        <v>313</v>
      </c>
      <c r="B4317" t="s">
        <v>3112</v>
      </c>
      <c r="C4317" t="s">
        <v>13392</v>
      </c>
      <c r="D4317" t="s">
        <v>13393</v>
      </c>
      <c r="E4317" t="s">
        <v>137</v>
      </c>
      <c r="F4317" t="s">
        <v>12</v>
      </c>
      <c r="G4317" t="s">
        <v>12</v>
      </c>
      <c r="H4317">
        <f>30230*(1.01^10)</f>
        <v>33392.72685118072</v>
      </c>
      <c r="I4317">
        <f>137418*(1.01^10)</f>
        <v>151794.96322975695</v>
      </c>
      <c r="J4317" t="s">
        <v>13394</v>
      </c>
      <c r="K4317">
        <f t="shared" si="67"/>
        <v>290.28888954075643</v>
      </c>
    </row>
    <row r="4318" spans="1:11" x14ac:dyDescent="0.2">
      <c r="A4318" t="s">
        <v>313</v>
      </c>
      <c r="B4318" t="s">
        <v>3112</v>
      </c>
      <c r="C4318" t="s">
        <v>13395</v>
      </c>
      <c r="D4318" t="s">
        <v>13396</v>
      </c>
      <c r="E4318" t="s">
        <v>1010</v>
      </c>
      <c r="F4318" t="s">
        <v>24</v>
      </c>
      <c r="G4318" t="s">
        <v>17</v>
      </c>
      <c r="H4318">
        <f>71124*(1.01^10)</f>
        <v>78565.144047746522</v>
      </c>
      <c r="I4318">
        <f>342667*(1.01^10)</f>
        <v>378517.54984828131</v>
      </c>
      <c r="J4318" t="s">
        <v>13397</v>
      </c>
      <c r="K4318">
        <f t="shared" si="67"/>
        <v>323.02507262246763</v>
      </c>
    </row>
    <row r="4319" spans="1:11" x14ac:dyDescent="0.2">
      <c r="A4319" t="s">
        <v>313</v>
      </c>
      <c r="B4319" t="s">
        <v>3112</v>
      </c>
      <c r="C4319" t="s">
        <v>13398</v>
      </c>
      <c r="D4319" t="s">
        <v>13399</v>
      </c>
      <c r="E4319" t="s">
        <v>40</v>
      </c>
      <c r="F4319" t="s">
        <v>24</v>
      </c>
      <c r="G4319" t="s">
        <v>12</v>
      </c>
      <c r="H4319">
        <f>47741*(1.01^10)</f>
        <v>52735.764889256323</v>
      </c>
      <c r="I4319">
        <f>225634*(1.01^10)</f>
        <v>249240.30864503176</v>
      </c>
      <c r="J4319" t="s">
        <v>13400</v>
      </c>
      <c r="K4319">
        <f t="shared" si="67"/>
        <v>168.10915118947787</v>
      </c>
    </row>
    <row r="4320" spans="1:11" x14ac:dyDescent="0.2">
      <c r="A4320" t="s">
        <v>313</v>
      </c>
      <c r="B4320" t="s">
        <v>3112</v>
      </c>
      <c r="C4320" t="s">
        <v>13401</v>
      </c>
      <c r="D4320" t="s">
        <v>13402</v>
      </c>
      <c r="E4320" t="s">
        <v>679</v>
      </c>
      <c r="F4320" t="s">
        <v>5</v>
      </c>
      <c r="G4320" t="s">
        <v>24</v>
      </c>
      <c r="H4320">
        <f>60121*(1.01^10)</f>
        <v>66410.986801847044</v>
      </c>
      <c r="I4320">
        <f>275274*(1.01^10)</f>
        <v>304073.75095044397</v>
      </c>
      <c r="J4320" t="s">
        <v>13403</v>
      </c>
      <c r="K4320">
        <f t="shared" si="67"/>
        <v>222.86588116979431</v>
      </c>
    </row>
    <row r="4321" spans="1:11" x14ac:dyDescent="0.2">
      <c r="A4321" t="s">
        <v>313</v>
      </c>
      <c r="B4321" t="s">
        <v>3112</v>
      </c>
      <c r="C4321" t="s">
        <v>13404</v>
      </c>
      <c r="D4321" t="s">
        <v>13405</v>
      </c>
      <c r="E4321" t="s">
        <v>2777</v>
      </c>
      <c r="F4321" t="s">
        <v>24</v>
      </c>
      <c r="G4321" t="s">
        <v>17</v>
      </c>
      <c r="H4321">
        <f>55526*(1.01^10)</f>
        <v>61335.248135582551</v>
      </c>
      <c r="I4321">
        <f>257500*(1.01^10)</f>
        <v>284440.19729338522</v>
      </c>
      <c r="J4321" t="s">
        <v>13406</v>
      </c>
      <c r="K4321">
        <f t="shared" si="67"/>
        <v>311.86224444766873</v>
      </c>
    </row>
    <row r="4322" spans="1:11" x14ac:dyDescent="0.2">
      <c r="A4322" t="s">
        <v>313</v>
      </c>
      <c r="B4322" t="s">
        <v>3112</v>
      </c>
      <c r="C4322" t="s">
        <v>13407</v>
      </c>
      <c r="D4322" t="s">
        <v>13408</v>
      </c>
      <c r="E4322" t="s">
        <v>608</v>
      </c>
      <c r="F4322" t="s">
        <v>158</v>
      </c>
      <c r="G4322" t="s">
        <v>92</v>
      </c>
      <c r="H4322">
        <f>112931*(1.01^10)</f>
        <v>124746.08124481277</v>
      </c>
      <c r="I4322">
        <f>502049*(1.01^10)</f>
        <v>554574.4334405699</v>
      </c>
      <c r="J4322" t="s">
        <v>13409</v>
      </c>
      <c r="K4322">
        <f t="shared" si="67"/>
        <v>608.9607148871404</v>
      </c>
    </row>
    <row r="4323" spans="1:11" x14ac:dyDescent="0.2">
      <c r="A4323" t="s">
        <v>313</v>
      </c>
      <c r="B4323" t="s">
        <v>3112</v>
      </c>
      <c r="C4323" t="s">
        <v>13410</v>
      </c>
      <c r="D4323" t="s">
        <v>13411</v>
      </c>
      <c r="E4323" t="s">
        <v>1140</v>
      </c>
      <c r="F4323" t="s">
        <v>152</v>
      </c>
      <c r="G4323" t="s">
        <v>12</v>
      </c>
      <c r="H4323">
        <f>23729*(1.01^10)</f>
        <v>26211.578413882478</v>
      </c>
      <c r="I4323">
        <f>106506*(1.01^10)</f>
        <v>117648.88408904578</v>
      </c>
      <c r="J4323" t="s">
        <v>13412</v>
      </c>
      <c r="K4323">
        <f t="shared" si="67"/>
        <v>197.25514157410922</v>
      </c>
    </row>
    <row r="4324" spans="1:11" x14ac:dyDescent="0.2">
      <c r="A4324" t="s">
        <v>313</v>
      </c>
      <c r="B4324" t="s">
        <v>3112</v>
      </c>
      <c r="C4324" t="s">
        <v>13413</v>
      </c>
      <c r="D4324" t="s">
        <v>8573</v>
      </c>
      <c r="E4324" t="s">
        <v>2276</v>
      </c>
      <c r="F4324" t="s">
        <v>92</v>
      </c>
      <c r="G4324" t="s">
        <v>12</v>
      </c>
      <c r="H4324">
        <f>67517*(1.01^10)</f>
        <v>74580.772041388307</v>
      </c>
      <c r="I4324">
        <f>299509*(1.01^10)</f>
        <v>330844.26815978455</v>
      </c>
      <c r="J4324" t="s">
        <v>13414</v>
      </c>
      <c r="K4324">
        <f t="shared" si="67"/>
        <v>238.73538277682857</v>
      </c>
    </row>
    <row r="4325" spans="1:11" x14ac:dyDescent="0.2">
      <c r="A4325" t="s">
        <v>313</v>
      </c>
      <c r="B4325" t="s">
        <v>3112</v>
      </c>
      <c r="C4325" t="s">
        <v>13415</v>
      </c>
      <c r="D4325" t="s">
        <v>13416</v>
      </c>
      <c r="E4325" t="s">
        <v>493</v>
      </c>
      <c r="F4325" t="s">
        <v>12</v>
      </c>
      <c r="G4325" t="s">
        <v>92</v>
      </c>
      <c r="H4325">
        <f>124925*(1.01^10)</f>
        <v>137994.91901699474</v>
      </c>
      <c r="I4325">
        <f>584085*(1.01^10)</f>
        <v>645193.21412080352</v>
      </c>
      <c r="J4325" t="s">
        <v>13417</v>
      </c>
      <c r="K4325">
        <f t="shared" si="67"/>
        <v>621.08875936966683</v>
      </c>
    </row>
    <row r="4326" spans="1:11" x14ac:dyDescent="0.2">
      <c r="A4326" t="s">
        <v>313</v>
      </c>
      <c r="B4326" t="s">
        <v>13418</v>
      </c>
      <c r="C4326" t="s">
        <v>13419</v>
      </c>
      <c r="D4326" t="s">
        <v>13420</v>
      </c>
      <c r="E4326" t="s">
        <v>626</v>
      </c>
      <c r="F4326" t="s">
        <v>24</v>
      </c>
      <c r="G4326" t="s">
        <v>24</v>
      </c>
      <c r="H4326">
        <f>16314*(1.01^10)</f>
        <v>18020.805353958393</v>
      </c>
      <c r="I4326">
        <f>62123*(1.01^10)</f>
        <v>68622.440296920278</v>
      </c>
      <c r="J4326" t="s">
        <v>13421</v>
      </c>
      <c r="K4326">
        <f t="shared" si="67"/>
        <v>161.11579709081582</v>
      </c>
    </row>
    <row r="4327" spans="1:11" x14ac:dyDescent="0.2">
      <c r="A4327" t="s">
        <v>313</v>
      </c>
      <c r="B4327" t="s">
        <v>13418</v>
      </c>
      <c r="C4327" t="s">
        <v>13422</v>
      </c>
      <c r="D4327" t="s">
        <v>13423</v>
      </c>
      <c r="E4327" t="s">
        <v>347</v>
      </c>
      <c r="F4327" t="s">
        <v>12</v>
      </c>
      <c r="G4327" t="s">
        <v>5</v>
      </c>
      <c r="H4327">
        <f>45354*(1.01^10)</f>
        <v>50099.031875899782</v>
      </c>
      <c r="I4327">
        <f>178340*(1.01^10)</f>
        <v>196998.30984583424</v>
      </c>
      <c r="J4327" t="s">
        <v>13424</v>
      </c>
      <c r="K4327">
        <f t="shared" si="67"/>
        <v>227.56218721001079</v>
      </c>
    </row>
    <row r="4328" spans="1:11" x14ac:dyDescent="0.2">
      <c r="A4328" t="s">
        <v>313</v>
      </c>
      <c r="B4328" t="s">
        <v>13418</v>
      </c>
      <c r="C4328" t="s">
        <v>13425</v>
      </c>
      <c r="D4328" t="s">
        <v>13198</v>
      </c>
      <c r="E4328" t="s">
        <v>1974</v>
      </c>
      <c r="F4328" t="s">
        <v>24</v>
      </c>
      <c r="G4328" t="s">
        <v>12</v>
      </c>
      <c r="H4328">
        <f>44368*(1.01^10)</f>
        <v>49009.874460244333</v>
      </c>
      <c r="I4328">
        <f>181615*(1.01^10)</f>
        <v>200615.94730655596</v>
      </c>
      <c r="J4328" t="s">
        <v>13426</v>
      </c>
      <c r="K4328">
        <f t="shared" si="67"/>
        <v>195.57023523743027</v>
      </c>
    </row>
    <row r="4329" spans="1:11" x14ac:dyDescent="0.2">
      <c r="A4329" t="s">
        <v>313</v>
      </c>
      <c r="B4329" t="s">
        <v>13418</v>
      </c>
      <c r="C4329" t="s">
        <v>13427</v>
      </c>
      <c r="D4329" t="s">
        <v>13428</v>
      </c>
      <c r="E4329" t="s">
        <v>1401</v>
      </c>
      <c r="F4329" t="s">
        <v>12</v>
      </c>
      <c r="G4329" t="s">
        <v>17</v>
      </c>
      <c r="H4329">
        <f>66959*(1.01^10)</f>
        <v>73964.392895408862</v>
      </c>
      <c r="I4329">
        <f>279122*(1.01^10)</f>
        <v>308324.33688902628</v>
      </c>
      <c r="J4329" t="s">
        <v>13429</v>
      </c>
      <c r="K4329">
        <f t="shared" si="67"/>
        <v>277.06079660061562</v>
      </c>
    </row>
    <row r="4330" spans="1:11" x14ac:dyDescent="0.2">
      <c r="A4330" t="s">
        <v>313</v>
      </c>
      <c r="B4330" t="s">
        <v>13418</v>
      </c>
      <c r="C4330" t="s">
        <v>13430</v>
      </c>
      <c r="D4330" t="s">
        <v>13431</v>
      </c>
      <c r="E4330" t="s">
        <v>560</v>
      </c>
      <c r="F4330" t="s">
        <v>24</v>
      </c>
      <c r="G4330" t="s">
        <v>12</v>
      </c>
      <c r="H4330">
        <f>32459*(1.01^10)</f>
        <v>35854.929568722298</v>
      </c>
      <c r="I4330">
        <f>123209*(1.01^10)</f>
        <v>136099.38744978912</v>
      </c>
      <c r="J4330" t="s">
        <v>13432</v>
      </c>
      <c r="K4330">
        <f t="shared" si="67"/>
        <v>215.39825504437621</v>
      </c>
    </row>
    <row r="4331" spans="1:11" x14ac:dyDescent="0.2">
      <c r="A4331" t="s">
        <v>313</v>
      </c>
      <c r="B4331" t="s">
        <v>13418</v>
      </c>
      <c r="C4331" t="s">
        <v>13433</v>
      </c>
      <c r="D4331" t="s">
        <v>13434</v>
      </c>
      <c r="E4331" t="s">
        <v>10</v>
      </c>
      <c r="F4331" t="s">
        <v>24</v>
      </c>
      <c r="G4331" t="s">
        <v>92</v>
      </c>
      <c r="H4331">
        <f>74137*(1.01^10)</f>
        <v>81893.370511610483</v>
      </c>
      <c r="I4331">
        <f>319449*(1.01^10)</f>
        <v>352870.43334048393</v>
      </c>
      <c r="J4331" t="s">
        <v>13435</v>
      </c>
      <c r="K4331">
        <f t="shared" si="67"/>
        <v>374.88359822845905</v>
      </c>
    </row>
    <row r="4332" spans="1:11" x14ac:dyDescent="0.2">
      <c r="A4332" t="s">
        <v>313</v>
      </c>
      <c r="B4332" t="s">
        <v>13418</v>
      </c>
      <c r="C4332" t="s">
        <v>13436</v>
      </c>
      <c r="D4332" t="s">
        <v>13437</v>
      </c>
      <c r="E4332" t="s">
        <v>157</v>
      </c>
      <c r="F4332" t="s">
        <v>12</v>
      </c>
      <c r="G4332" t="s">
        <v>12</v>
      </c>
      <c r="H4332">
        <f>49801*(1.01^10)</f>
        <v>55011.286467603408</v>
      </c>
      <c r="I4332">
        <f>198343*(1.01^10)</f>
        <v>219094.06622043459</v>
      </c>
      <c r="J4332" t="s">
        <v>13438</v>
      </c>
      <c r="K4332">
        <f t="shared" si="67"/>
        <v>174.30888452056564</v>
      </c>
    </row>
    <row r="4333" spans="1:11" x14ac:dyDescent="0.2">
      <c r="A4333" t="s">
        <v>313</v>
      </c>
      <c r="B4333" t="s">
        <v>13418</v>
      </c>
      <c r="C4333" t="s">
        <v>13439</v>
      </c>
      <c r="D4333" t="s">
        <v>13440</v>
      </c>
      <c r="E4333" t="s">
        <v>560</v>
      </c>
      <c r="F4333" t="s">
        <v>12</v>
      </c>
      <c r="G4333" t="s">
        <v>12</v>
      </c>
      <c r="H4333">
        <f>26040*(1.01^10)</f>
        <v>28764.360145707771</v>
      </c>
      <c r="I4333">
        <f>106986*(1.01^10)</f>
        <v>118179.10270924315</v>
      </c>
      <c r="J4333" t="s">
        <v>13441</v>
      </c>
      <c r="K4333">
        <f t="shared" si="67"/>
        <v>158.25792127116591</v>
      </c>
    </row>
    <row r="4334" spans="1:11" x14ac:dyDescent="0.2">
      <c r="A4334" t="s">
        <v>313</v>
      </c>
      <c r="B4334" t="s">
        <v>13418</v>
      </c>
      <c r="C4334" t="s">
        <v>13442</v>
      </c>
      <c r="D4334" t="s">
        <v>13443</v>
      </c>
      <c r="E4334" t="s">
        <v>5142</v>
      </c>
      <c r="F4334" t="s">
        <v>17</v>
      </c>
      <c r="G4334" t="s">
        <v>12</v>
      </c>
      <c r="H4334">
        <f>41683*(1.01^10)</f>
        <v>46043.96405351525</v>
      </c>
      <c r="I4334">
        <f>165882*(1.01^10)</f>
        <v>183236.92740746145</v>
      </c>
      <c r="J4334" t="s">
        <v>13444</v>
      </c>
      <c r="K4334">
        <f t="shared" si="67"/>
        <v>152.57792013544511</v>
      </c>
    </row>
    <row r="4335" spans="1:11" x14ac:dyDescent="0.2">
      <c r="A4335" t="s">
        <v>313</v>
      </c>
      <c r="B4335" t="s">
        <v>13445</v>
      </c>
      <c r="C4335" t="s">
        <v>13446</v>
      </c>
      <c r="D4335" t="s">
        <v>13447</v>
      </c>
      <c r="E4335" t="s">
        <v>148</v>
      </c>
      <c r="F4335" t="s">
        <v>24</v>
      </c>
      <c r="G4335" t="s">
        <v>24</v>
      </c>
      <c r="H4335">
        <f>27800*(1.01^10)</f>
        <v>30708.495086431492</v>
      </c>
      <c r="I4335">
        <f>120909*(1.01^10)</f>
        <v>133558.75656134335</v>
      </c>
      <c r="J4335" t="s">
        <v>13448</v>
      </c>
      <c r="K4335">
        <f t="shared" si="67"/>
        <v>165.26481044526804</v>
      </c>
    </row>
    <row r="4336" spans="1:11" x14ac:dyDescent="0.2">
      <c r="A4336" t="s">
        <v>313</v>
      </c>
      <c r="B4336" t="s">
        <v>13445</v>
      </c>
      <c r="C4336" t="s">
        <v>13449</v>
      </c>
      <c r="D4336" t="s">
        <v>13450</v>
      </c>
      <c r="E4336" t="s">
        <v>612</v>
      </c>
      <c r="F4336" t="s">
        <v>24</v>
      </c>
      <c r="G4336" t="s">
        <v>24</v>
      </c>
      <c r="H4336">
        <f>11545*(1.01^10)</f>
        <v>12752.862437872358</v>
      </c>
      <c r="I4336">
        <f>43845*(1.01^10)</f>
        <v>48432.157088654269</v>
      </c>
      <c r="J4336" t="s">
        <v>13451</v>
      </c>
      <c r="K4336">
        <f t="shared" si="67"/>
        <v>111.92493318694368</v>
      </c>
    </row>
    <row r="4337" spans="1:11" x14ac:dyDescent="0.2">
      <c r="A4337" t="s">
        <v>313</v>
      </c>
      <c r="B4337" t="s">
        <v>13445</v>
      </c>
      <c r="C4337" t="s">
        <v>13452</v>
      </c>
      <c r="D4337" t="s">
        <v>13453</v>
      </c>
      <c r="E4337" t="s">
        <v>1002</v>
      </c>
      <c r="F4337" t="s">
        <v>24</v>
      </c>
      <c r="G4337" t="s">
        <v>17</v>
      </c>
      <c r="H4337">
        <f>33930*(1.01^10)</f>
        <v>37479.82871520218</v>
      </c>
      <c r="I4337">
        <f>135295*(1.01^10)</f>
        <v>149449.85045750893</v>
      </c>
      <c r="J4337" t="s">
        <v>1705</v>
      </c>
      <c r="K4337">
        <f t="shared" si="67"/>
        <v>190.6248092570267</v>
      </c>
    </row>
    <row r="4338" spans="1:11" x14ac:dyDescent="0.2">
      <c r="A4338" t="s">
        <v>313</v>
      </c>
      <c r="B4338" t="s">
        <v>13445</v>
      </c>
      <c r="C4338" t="s">
        <v>13454</v>
      </c>
      <c r="D4338" t="s">
        <v>13455</v>
      </c>
      <c r="E4338" t="s">
        <v>58</v>
      </c>
      <c r="F4338" t="s">
        <v>12</v>
      </c>
      <c r="G4338" t="s">
        <v>12</v>
      </c>
      <c r="H4338">
        <f>28924*(1.01^10)</f>
        <v>31950.090355393688</v>
      </c>
      <c r="I4338">
        <f>111807*(1.01^10)</f>
        <v>123504.48597585056</v>
      </c>
      <c r="J4338" t="s">
        <v>13456</v>
      </c>
      <c r="K4338">
        <f t="shared" si="67"/>
        <v>193.15080225180751</v>
      </c>
    </row>
    <row r="4339" spans="1:11" x14ac:dyDescent="0.2">
      <c r="A4339" t="s">
        <v>313</v>
      </c>
      <c r="B4339" t="s">
        <v>13445</v>
      </c>
      <c r="C4339" t="s">
        <v>13457</v>
      </c>
      <c r="D4339" t="s">
        <v>13458</v>
      </c>
      <c r="E4339" t="s">
        <v>1101</v>
      </c>
      <c r="F4339" t="s">
        <v>24</v>
      </c>
      <c r="G4339" t="s">
        <v>12</v>
      </c>
      <c r="H4339">
        <f>21519*(1.01^10)</f>
        <v>23770.363516723715</v>
      </c>
      <c r="I4339">
        <f>85801*(1.01^10)</f>
        <v>94777.682982406783</v>
      </c>
      <c r="J4339" t="s">
        <v>13459</v>
      </c>
      <c r="K4339">
        <f t="shared" si="67"/>
        <v>313.80221495350492</v>
      </c>
    </row>
    <row r="4340" spans="1:11" x14ac:dyDescent="0.2">
      <c r="A4340" t="s">
        <v>313</v>
      </c>
      <c r="B4340" t="s">
        <v>13445</v>
      </c>
      <c r="C4340" t="s">
        <v>13460</v>
      </c>
      <c r="D4340" t="s">
        <v>13461</v>
      </c>
      <c r="E4340" t="s">
        <v>1912</v>
      </c>
      <c r="F4340" t="s">
        <v>24</v>
      </c>
      <c r="G4340" t="s">
        <v>12</v>
      </c>
      <c r="H4340">
        <f>38128*(1.01^10)</f>
        <v>42117.032397678413</v>
      </c>
      <c r="I4340">
        <f>155624*(1.01^10)</f>
        <v>171905.71364499332</v>
      </c>
      <c r="J4340" t="s">
        <v>13462</v>
      </c>
      <c r="K4340">
        <f t="shared" si="67"/>
        <v>203.51337608470953</v>
      </c>
    </row>
    <row r="4341" spans="1:11" x14ac:dyDescent="0.2">
      <c r="A4341" t="s">
        <v>313</v>
      </c>
      <c r="B4341" t="s">
        <v>13445</v>
      </c>
      <c r="C4341" t="s">
        <v>13463</v>
      </c>
      <c r="D4341" t="s">
        <v>13464</v>
      </c>
      <c r="E4341" t="s">
        <v>253</v>
      </c>
      <c r="F4341" t="s">
        <v>24</v>
      </c>
      <c r="G4341" t="s">
        <v>11</v>
      </c>
      <c r="H4341">
        <f>35958*(1.01^10)</f>
        <v>39720.0023855361</v>
      </c>
      <c r="I4341">
        <f>147466*(1.01^10)</f>
        <v>162894.20634588873</v>
      </c>
      <c r="J4341" t="s">
        <v>13465</v>
      </c>
      <c r="K4341">
        <f t="shared" si="67"/>
        <v>181.82389171202797</v>
      </c>
    </row>
    <row r="4342" spans="1:11" x14ac:dyDescent="0.2">
      <c r="A4342" t="s">
        <v>313</v>
      </c>
      <c r="B4342" t="s">
        <v>13445</v>
      </c>
      <c r="C4342" t="s">
        <v>13466</v>
      </c>
      <c r="D4342" t="s">
        <v>13467</v>
      </c>
      <c r="E4342" t="s">
        <v>3122</v>
      </c>
      <c r="F4342" t="s">
        <v>6</v>
      </c>
      <c r="G4342" t="s">
        <v>24</v>
      </c>
      <c r="H4342">
        <f>12035*(1.01^10)</f>
        <v>13294.12727932385</v>
      </c>
      <c r="I4342">
        <f>48904*(1.01^10)</f>
        <v>54020.440421109553</v>
      </c>
      <c r="J4342" t="s">
        <v>13468</v>
      </c>
      <c r="K4342">
        <f t="shared" si="67"/>
        <v>108.01927698682174</v>
      </c>
    </row>
    <row r="4343" spans="1:11" x14ac:dyDescent="0.2">
      <c r="A4343" t="s">
        <v>313</v>
      </c>
      <c r="B4343" t="s">
        <v>13469</v>
      </c>
      <c r="C4343" t="s">
        <v>13470</v>
      </c>
      <c r="D4343" t="s">
        <v>13471</v>
      </c>
      <c r="E4343" t="s">
        <v>1295</v>
      </c>
      <c r="F4343" t="s">
        <v>382</v>
      </c>
      <c r="G4343" t="s">
        <v>12</v>
      </c>
      <c r="H4343">
        <f>39975*(1.01^10)</f>
        <v>44157.269463312907</v>
      </c>
      <c r="I4343">
        <f>185661*(1.01^10)</f>
        <v>205085.24842596968</v>
      </c>
      <c r="J4343" t="s">
        <v>13472</v>
      </c>
      <c r="K4343">
        <f t="shared" si="67"/>
        <v>200.03047824082407</v>
      </c>
    </row>
    <row r="4344" spans="1:11" x14ac:dyDescent="0.2">
      <c r="A4344" t="s">
        <v>313</v>
      </c>
      <c r="B4344" t="s">
        <v>13469</v>
      </c>
      <c r="C4344" t="s">
        <v>13473</v>
      </c>
      <c r="D4344" t="s">
        <v>13474</v>
      </c>
      <c r="E4344" t="s">
        <v>761</v>
      </c>
      <c r="F4344" t="s">
        <v>24</v>
      </c>
      <c r="G4344" t="s">
        <v>17</v>
      </c>
      <c r="H4344">
        <f>53548*(1.01^10)</f>
        <v>59150.305571519195</v>
      </c>
      <c r="I4344">
        <f>259417*(1.01^10)</f>
        <v>286557.75790779851</v>
      </c>
      <c r="J4344" t="s">
        <v>13475</v>
      </c>
      <c r="K4344">
        <f t="shared" si="67"/>
        <v>505.68718638325481</v>
      </c>
    </row>
    <row r="4345" spans="1:11" x14ac:dyDescent="0.2">
      <c r="A4345" t="s">
        <v>313</v>
      </c>
      <c r="B4345" t="s">
        <v>13469</v>
      </c>
      <c r="C4345" t="s">
        <v>13476</v>
      </c>
      <c r="D4345" t="s">
        <v>13477</v>
      </c>
      <c r="E4345" t="s">
        <v>837</v>
      </c>
      <c r="F4345" t="s">
        <v>24</v>
      </c>
      <c r="G4345" t="s">
        <v>92</v>
      </c>
      <c r="H4345">
        <f>171630*(1.01^10)</f>
        <v>189586.29538432506</v>
      </c>
      <c r="I4345">
        <f>807751*(1.01^10)</f>
        <v>892259.62642302609</v>
      </c>
      <c r="J4345" t="s">
        <v>13478</v>
      </c>
      <c r="K4345">
        <f t="shared" si="67"/>
        <v>1456.5839437501445</v>
      </c>
    </row>
    <row r="4346" spans="1:11" x14ac:dyDescent="0.2">
      <c r="A4346" t="s">
        <v>313</v>
      </c>
      <c r="B4346" t="s">
        <v>13469</v>
      </c>
      <c r="C4346" t="s">
        <v>13479</v>
      </c>
      <c r="D4346" t="s">
        <v>13480</v>
      </c>
      <c r="E4346" t="s">
        <v>1580</v>
      </c>
      <c r="F4346" t="s">
        <v>24</v>
      </c>
      <c r="G4346" t="s">
        <v>17</v>
      </c>
      <c r="H4346">
        <f>83953*(1.01^10)</f>
        <v>92736.341294646874</v>
      </c>
      <c r="I4346">
        <f>391015*(1.01^10)</f>
        <v>431923.82036766224</v>
      </c>
      <c r="J4346" t="s">
        <v>13481</v>
      </c>
      <c r="K4346">
        <f t="shared" si="67"/>
        <v>858.03019600640107</v>
      </c>
    </row>
    <row r="4347" spans="1:11" x14ac:dyDescent="0.2">
      <c r="A4347" t="s">
        <v>313</v>
      </c>
      <c r="B4347" t="s">
        <v>13469</v>
      </c>
      <c r="C4347" t="s">
        <v>13482</v>
      </c>
      <c r="D4347" t="s">
        <v>13483</v>
      </c>
      <c r="E4347" t="s">
        <v>560</v>
      </c>
      <c r="F4347" t="s">
        <v>24</v>
      </c>
      <c r="G4347" t="s">
        <v>744</v>
      </c>
      <c r="H4347">
        <f>227202*(1.01^10)</f>
        <v>250972.35613767654</v>
      </c>
      <c r="I4347">
        <f>1037713*(1.01^10)</f>
        <v>1146280.7396268374</v>
      </c>
      <c r="J4347" t="s">
        <v>13484</v>
      </c>
      <c r="K4347">
        <f t="shared" si="67"/>
        <v>1724.6381398131912</v>
      </c>
    </row>
    <row r="4348" spans="1:11" x14ac:dyDescent="0.2">
      <c r="A4348" t="s">
        <v>313</v>
      </c>
      <c r="B4348" t="s">
        <v>13469</v>
      </c>
      <c r="C4348" t="s">
        <v>13485</v>
      </c>
      <c r="D4348" t="s">
        <v>13486</v>
      </c>
      <c r="E4348" t="s">
        <v>789</v>
      </c>
      <c r="F4348" t="s">
        <v>24</v>
      </c>
      <c r="G4348" t="s">
        <v>24</v>
      </c>
      <c r="H4348">
        <f>7230*(1.01^10)</f>
        <v>7986.4179667230101</v>
      </c>
      <c r="I4348">
        <f>35772*(1.01^10)</f>
        <v>39514.542670209616</v>
      </c>
      <c r="J4348" t="s">
        <v>13487</v>
      </c>
      <c r="K4348">
        <f t="shared" si="67"/>
        <v>142.12841763257902</v>
      </c>
    </row>
    <row r="4349" spans="1:11" x14ac:dyDescent="0.2">
      <c r="A4349" t="s">
        <v>313</v>
      </c>
      <c r="B4349" t="s">
        <v>13469</v>
      </c>
      <c r="C4349" t="s">
        <v>13488</v>
      </c>
      <c r="D4349" t="s">
        <v>13489</v>
      </c>
      <c r="E4349" t="s">
        <v>1215</v>
      </c>
      <c r="F4349" t="s">
        <v>24</v>
      </c>
      <c r="G4349" t="s">
        <v>24</v>
      </c>
      <c r="H4349">
        <f>42000*(1.01^10)</f>
        <v>46394.129267270597</v>
      </c>
      <c r="I4349">
        <f>199713*(1.01^10)</f>
        <v>220607.39853224793</v>
      </c>
      <c r="J4349" t="s">
        <v>13490</v>
      </c>
      <c r="K4349">
        <f t="shared" si="67"/>
        <v>250.47675110104788</v>
      </c>
    </row>
    <row r="4350" spans="1:11" x14ac:dyDescent="0.2">
      <c r="A4350" t="s">
        <v>313</v>
      </c>
      <c r="B4350" t="s">
        <v>13469</v>
      </c>
      <c r="C4350" t="s">
        <v>13491</v>
      </c>
      <c r="D4350" t="s">
        <v>13492</v>
      </c>
      <c r="E4350" t="s">
        <v>498</v>
      </c>
      <c r="F4350" t="s">
        <v>24</v>
      </c>
      <c r="G4350" t="s">
        <v>17</v>
      </c>
      <c r="H4350">
        <f>59093*(1.01^10)</f>
        <v>65275.43525692432</v>
      </c>
      <c r="I4350">
        <f>275372*(1.01^10)</f>
        <v>304182.00391873426</v>
      </c>
      <c r="J4350" t="s">
        <v>13493</v>
      </c>
      <c r="K4350">
        <f t="shared" si="67"/>
        <v>557.89667464874321</v>
      </c>
    </row>
    <row r="4351" spans="1:11" x14ac:dyDescent="0.2">
      <c r="A4351" t="s">
        <v>313</v>
      </c>
      <c r="B4351" t="s">
        <v>13469</v>
      </c>
      <c r="C4351" t="s">
        <v>13494</v>
      </c>
      <c r="D4351" t="s">
        <v>13495</v>
      </c>
      <c r="E4351" t="s">
        <v>1215</v>
      </c>
      <c r="F4351" t="s">
        <v>11</v>
      </c>
      <c r="G4351" t="s">
        <v>24</v>
      </c>
      <c r="H4351">
        <f>33654*(1.01^10)</f>
        <v>37174.953008588687</v>
      </c>
      <c r="I4351">
        <f>150368*(1.01^10)</f>
        <v>166099.81975383204</v>
      </c>
      <c r="J4351" t="s">
        <v>13496</v>
      </c>
      <c r="K4351">
        <f t="shared" si="67"/>
        <v>261.31526163622237</v>
      </c>
    </row>
    <row r="4352" spans="1:11" x14ac:dyDescent="0.2">
      <c r="A4352" t="s">
        <v>313</v>
      </c>
      <c r="B4352" t="s">
        <v>13469</v>
      </c>
      <c r="C4352" t="s">
        <v>13497</v>
      </c>
      <c r="D4352" t="s">
        <v>13498</v>
      </c>
      <c r="E4352" t="s">
        <v>611</v>
      </c>
      <c r="F4352" t="s">
        <v>17</v>
      </c>
      <c r="G4352" t="s">
        <v>12</v>
      </c>
      <c r="H4352">
        <f>29809*(1.01^10)</f>
        <v>32927.680936382603</v>
      </c>
      <c r="I4352">
        <f>120265*(1.01^10)</f>
        <v>132847.37991257853</v>
      </c>
      <c r="J4352" t="s">
        <v>13499</v>
      </c>
      <c r="K4352">
        <f t="shared" si="67"/>
        <v>244.22270003783095</v>
      </c>
    </row>
    <row r="4353" spans="1:11" x14ac:dyDescent="0.2">
      <c r="A4353" t="s">
        <v>313</v>
      </c>
      <c r="B4353" t="s">
        <v>13469</v>
      </c>
      <c r="C4353" t="s">
        <v>13500</v>
      </c>
      <c r="D4353" t="s">
        <v>13501</v>
      </c>
      <c r="E4353" t="s">
        <v>2395</v>
      </c>
      <c r="F4353" t="s">
        <v>11</v>
      </c>
      <c r="G4353" t="s">
        <v>12</v>
      </c>
      <c r="H4353">
        <f>52872*(1.01^10)</f>
        <v>58403.581014741219</v>
      </c>
      <c r="I4353">
        <f>225734*(1.01^10)</f>
        <v>249350.7708575729</v>
      </c>
      <c r="J4353" t="s">
        <v>13502</v>
      </c>
      <c r="K4353">
        <f t="shared" si="67"/>
        <v>527.86055899397286</v>
      </c>
    </row>
    <row r="4354" spans="1:11" x14ac:dyDescent="0.2">
      <c r="A4354" t="s">
        <v>313</v>
      </c>
      <c r="B4354" t="s">
        <v>13469</v>
      </c>
      <c r="C4354" t="s">
        <v>13503</v>
      </c>
      <c r="D4354" t="s">
        <v>13504</v>
      </c>
      <c r="E4354" t="s">
        <v>540</v>
      </c>
      <c r="F4354" t="s">
        <v>12</v>
      </c>
      <c r="G4354" t="s">
        <v>24</v>
      </c>
      <c r="H4354">
        <f>39274*(1.01^10)</f>
        <v>43382.929353399653</v>
      </c>
      <c r="I4354">
        <f>187220*(1.01^10)</f>
        <v>206807.35431948575</v>
      </c>
      <c r="J4354" t="s">
        <v>13505</v>
      </c>
      <c r="K4354">
        <f t="shared" si="67"/>
        <v>216.21712353576211</v>
      </c>
    </row>
    <row r="4355" spans="1:11" x14ac:dyDescent="0.2">
      <c r="A4355" t="s">
        <v>313</v>
      </c>
      <c r="B4355" t="s">
        <v>1762</v>
      </c>
      <c r="C4355" t="s">
        <v>13506</v>
      </c>
      <c r="D4355" t="s">
        <v>13507</v>
      </c>
      <c r="E4355" t="s">
        <v>36</v>
      </c>
      <c r="F4355" t="s">
        <v>17</v>
      </c>
      <c r="G4355" t="s">
        <v>24</v>
      </c>
      <c r="H4355">
        <f>36344*(1.01^10)</f>
        <v>40146.386525944828</v>
      </c>
      <c r="I4355">
        <f>162911*(1.01^10)</f>
        <v>179955.09507286479</v>
      </c>
      <c r="J4355" t="s">
        <v>13508</v>
      </c>
      <c r="K4355">
        <f t="shared" ref="K4355:K4418" si="68">I4355/J4355</f>
        <v>287.61982366561455</v>
      </c>
    </row>
    <row r="4356" spans="1:11" x14ac:dyDescent="0.2">
      <c r="A4356" t="s">
        <v>313</v>
      </c>
      <c r="B4356" t="s">
        <v>1762</v>
      </c>
      <c r="C4356" t="s">
        <v>13509</v>
      </c>
      <c r="D4356" t="s">
        <v>13510</v>
      </c>
      <c r="E4356" t="s">
        <v>32</v>
      </c>
      <c r="F4356" t="s">
        <v>24</v>
      </c>
      <c r="G4356" t="s">
        <v>17</v>
      </c>
      <c r="H4356">
        <f>94554*(1.01^10)</f>
        <v>104446.44044613105</v>
      </c>
      <c r="I4356">
        <f>456002*(1.01^10)</f>
        <v>503709.8984317602</v>
      </c>
      <c r="J4356" t="s">
        <v>13511</v>
      </c>
      <c r="K4356">
        <f t="shared" si="68"/>
        <v>649.05214533709614</v>
      </c>
    </row>
    <row r="4357" spans="1:11" x14ac:dyDescent="0.2">
      <c r="A4357" t="s">
        <v>313</v>
      </c>
      <c r="B4357" t="s">
        <v>1762</v>
      </c>
      <c r="C4357" t="s">
        <v>13512</v>
      </c>
      <c r="D4357" t="s">
        <v>13513</v>
      </c>
      <c r="E4357" t="s">
        <v>1506</v>
      </c>
      <c r="F4357" t="s">
        <v>24</v>
      </c>
      <c r="G4357" t="s">
        <v>24</v>
      </c>
      <c r="H4357">
        <f>34401*(1.01^10)</f>
        <v>38000.105736270853</v>
      </c>
      <c r="I4357">
        <f>164909*(1.01^10)</f>
        <v>182162.13007943638</v>
      </c>
      <c r="J4357" t="s">
        <v>13514</v>
      </c>
      <c r="K4357">
        <f t="shared" si="68"/>
        <v>612.6391675504035</v>
      </c>
    </row>
    <row r="4358" spans="1:11" x14ac:dyDescent="0.2">
      <c r="A4358" t="s">
        <v>313</v>
      </c>
      <c r="B4358" t="s">
        <v>1762</v>
      </c>
      <c r="C4358" t="s">
        <v>13515</v>
      </c>
      <c r="D4358" t="s">
        <v>13516</v>
      </c>
      <c r="E4358" t="s">
        <v>1027</v>
      </c>
      <c r="F4358" t="s">
        <v>24</v>
      </c>
      <c r="G4358" t="s">
        <v>24</v>
      </c>
      <c r="H4358">
        <f>31714*(1.01^10)</f>
        <v>35031.986085290948</v>
      </c>
      <c r="I4358">
        <f>143019*(1.01^10)</f>
        <v>157981.95175418508</v>
      </c>
      <c r="J4358" t="s">
        <v>13517</v>
      </c>
      <c r="K4358">
        <f t="shared" si="68"/>
        <v>274.42668106271771</v>
      </c>
    </row>
    <row r="4359" spans="1:11" x14ac:dyDescent="0.2">
      <c r="A4359" t="s">
        <v>313</v>
      </c>
      <c r="B4359" t="s">
        <v>1762</v>
      </c>
      <c r="C4359" t="s">
        <v>13518</v>
      </c>
      <c r="D4359" t="s">
        <v>13519</v>
      </c>
      <c r="E4359" t="s">
        <v>232</v>
      </c>
      <c r="F4359" t="s">
        <v>24</v>
      </c>
      <c r="G4359" t="s">
        <v>12</v>
      </c>
      <c r="H4359">
        <f>38109*(1.01^10)</f>
        <v>42096.044577295601</v>
      </c>
      <c r="I4359">
        <f>170214*(1.01^10)</f>
        <v>188022.1504547428</v>
      </c>
      <c r="J4359" t="s">
        <v>13520</v>
      </c>
      <c r="K4359">
        <f t="shared" si="68"/>
        <v>256.9696872374131</v>
      </c>
    </row>
    <row r="4360" spans="1:11" x14ac:dyDescent="0.2">
      <c r="A4360" t="s">
        <v>313</v>
      </c>
      <c r="B4360" t="s">
        <v>1762</v>
      </c>
      <c r="C4360" t="s">
        <v>13521</v>
      </c>
      <c r="D4360" t="s">
        <v>13522</v>
      </c>
      <c r="E4360" t="s">
        <v>51</v>
      </c>
      <c r="F4360" t="s">
        <v>24</v>
      </c>
      <c r="G4360" t="s">
        <v>24</v>
      </c>
      <c r="H4360">
        <f>28178*(1.01^10)</f>
        <v>31126.042249836926</v>
      </c>
      <c r="I4360">
        <f>138455*(1.01^10)</f>
        <v>152940.45637380835</v>
      </c>
      <c r="J4360" t="s">
        <v>13523</v>
      </c>
      <c r="K4360">
        <f t="shared" si="68"/>
        <v>177.10460926143912</v>
      </c>
    </row>
    <row r="4361" spans="1:11" x14ac:dyDescent="0.2">
      <c r="A4361" t="s">
        <v>313</v>
      </c>
      <c r="B4361" t="s">
        <v>1762</v>
      </c>
      <c r="C4361" t="s">
        <v>13524</v>
      </c>
      <c r="D4361" t="s">
        <v>13525</v>
      </c>
      <c r="E4361" t="s">
        <v>121</v>
      </c>
      <c r="F4361" t="s">
        <v>24</v>
      </c>
      <c r="G4361" t="s">
        <v>12</v>
      </c>
      <c r="H4361">
        <f>53432*(1.01^10)</f>
        <v>59022.169404971493</v>
      </c>
      <c r="I4361">
        <f>251401*(1.01^10)</f>
        <v>277703.10695050226</v>
      </c>
      <c r="J4361" t="s">
        <v>13526</v>
      </c>
      <c r="K4361">
        <f t="shared" si="68"/>
        <v>338.76974034511215</v>
      </c>
    </row>
    <row r="4362" spans="1:11" x14ac:dyDescent="0.2">
      <c r="A4362" t="s">
        <v>313</v>
      </c>
      <c r="B4362" t="s">
        <v>1762</v>
      </c>
      <c r="C4362" t="s">
        <v>13527</v>
      </c>
      <c r="D4362" t="s">
        <v>13528</v>
      </c>
      <c r="E4362" t="s">
        <v>67</v>
      </c>
      <c r="F4362" t="s">
        <v>12</v>
      </c>
      <c r="G4362" t="s">
        <v>11</v>
      </c>
      <c r="H4362">
        <f>185372*(1.01^10)</f>
        <v>204766.01263172584</v>
      </c>
      <c r="I4362">
        <f>854581*(1.01^10)</f>
        <v>943989.08055603271</v>
      </c>
      <c r="J4362" t="s">
        <v>13529</v>
      </c>
      <c r="K4362">
        <f t="shared" si="68"/>
        <v>1028.0977581503096</v>
      </c>
    </row>
    <row r="4363" spans="1:11" x14ac:dyDescent="0.2">
      <c r="A4363" t="s">
        <v>313</v>
      </c>
      <c r="B4363" t="s">
        <v>1762</v>
      </c>
      <c r="C4363" t="s">
        <v>13530</v>
      </c>
      <c r="D4363" t="s">
        <v>13531</v>
      </c>
      <c r="E4363" t="s">
        <v>51</v>
      </c>
      <c r="F4363" t="s">
        <v>24</v>
      </c>
      <c r="G4363" t="s">
        <v>24</v>
      </c>
      <c r="H4363">
        <f>32275*(1.01^10)</f>
        <v>35651.679097646636</v>
      </c>
      <c r="I4363">
        <f>152327*(1.01^10)</f>
        <v>168263.77449751258</v>
      </c>
      <c r="J4363" t="s">
        <v>13532</v>
      </c>
      <c r="K4363">
        <f t="shared" si="68"/>
        <v>232.31547377088265</v>
      </c>
    </row>
    <row r="4364" spans="1:11" x14ac:dyDescent="0.2">
      <c r="A4364" t="s">
        <v>313</v>
      </c>
      <c r="B4364" t="s">
        <v>1762</v>
      </c>
      <c r="C4364" t="s">
        <v>13533</v>
      </c>
      <c r="D4364" t="s">
        <v>13534</v>
      </c>
      <c r="E4364" t="s">
        <v>1010</v>
      </c>
      <c r="F4364" t="s">
        <v>24</v>
      </c>
      <c r="G4364" t="s">
        <v>24</v>
      </c>
      <c r="H4364">
        <f>64007*(1.01^10)</f>
        <v>70703.548381194982</v>
      </c>
      <c r="I4364">
        <f>328324*(1.01^10)</f>
        <v>362673.95470350841</v>
      </c>
      <c r="J4364" t="s">
        <v>13535</v>
      </c>
      <c r="K4364">
        <f t="shared" si="68"/>
        <v>161.92464168352484</v>
      </c>
    </row>
    <row r="4365" spans="1:11" x14ac:dyDescent="0.2">
      <c r="A4365" t="s">
        <v>72</v>
      </c>
      <c r="B4365" t="s">
        <v>5288</v>
      </c>
      <c r="C4365" t="s">
        <v>13536</v>
      </c>
      <c r="D4365" t="s">
        <v>13537</v>
      </c>
      <c r="E4365" t="s">
        <v>374</v>
      </c>
      <c r="F4365" t="s">
        <v>24</v>
      </c>
      <c r="G4365" t="s">
        <v>24</v>
      </c>
      <c r="H4365">
        <f>9184*(1.01^10)</f>
        <v>10144.849599776504</v>
      </c>
      <c r="I4365">
        <f>39631*(1.01^10)</f>
        <v>43777.279452171453</v>
      </c>
      <c r="J4365" t="s">
        <v>13538</v>
      </c>
      <c r="K4365">
        <f t="shared" si="68"/>
        <v>157.0894480402809</v>
      </c>
    </row>
    <row r="4366" spans="1:11" x14ac:dyDescent="0.2">
      <c r="A4366" t="s">
        <v>72</v>
      </c>
      <c r="B4366" t="s">
        <v>5288</v>
      </c>
      <c r="C4366" t="s">
        <v>13539</v>
      </c>
      <c r="D4366" t="s">
        <v>13540</v>
      </c>
      <c r="E4366" t="s">
        <v>142</v>
      </c>
      <c r="F4366" t="s">
        <v>11</v>
      </c>
      <c r="G4366" t="s">
        <v>17</v>
      </c>
      <c r="H4366">
        <f>44424*(1.01^10)</f>
        <v>49071.733299267362</v>
      </c>
      <c r="I4366">
        <f>198338*(1.01^10)</f>
        <v>219088.54310980754</v>
      </c>
      <c r="J4366" t="s">
        <v>13541</v>
      </c>
      <c r="K4366">
        <f t="shared" si="68"/>
        <v>625.47841388839549</v>
      </c>
    </row>
    <row r="4367" spans="1:11" x14ac:dyDescent="0.2">
      <c r="A4367" t="s">
        <v>72</v>
      </c>
      <c r="B4367" t="s">
        <v>5288</v>
      </c>
      <c r="C4367" t="s">
        <v>13542</v>
      </c>
      <c r="D4367" t="s">
        <v>13543</v>
      </c>
      <c r="E4367" t="s">
        <v>333</v>
      </c>
      <c r="F4367" t="s">
        <v>744</v>
      </c>
      <c r="G4367" t="s">
        <v>24</v>
      </c>
      <c r="H4367">
        <f>11374*(1.01^10)</f>
        <v>12563.972054427042</v>
      </c>
      <c r="I4367">
        <f>47904*(1.01^10)</f>
        <v>52915.818295698351</v>
      </c>
      <c r="J4367" t="s">
        <v>13544</v>
      </c>
      <c r="K4367">
        <f t="shared" si="68"/>
        <v>186.4195320806152</v>
      </c>
    </row>
    <row r="4368" spans="1:11" x14ac:dyDescent="0.2">
      <c r="A4368" t="s">
        <v>72</v>
      </c>
      <c r="B4368" t="s">
        <v>5288</v>
      </c>
      <c r="C4368" t="s">
        <v>13545</v>
      </c>
      <c r="D4368" t="s">
        <v>13546</v>
      </c>
      <c r="E4368" t="s">
        <v>185</v>
      </c>
      <c r="F4368" t="s">
        <v>158</v>
      </c>
      <c r="G4368" t="s">
        <v>24</v>
      </c>
      <c r="H4368">
        <f>8559*(1.01^10)</f>
        <v>9454.4607713945006</v>
      </c>
      <c r="I4368">
        <f>38318*(1.01^10)</f>
        <v>42326.910601506541</v>
      </c>
      <c r="J4368" t="s">
        <v>13547</v>
      </c>
      <c r="K4368">
        <f t="shared" si="68"/>
        <v>151.20111209028286</v>
      </c>
    </row>
    <row r="4369" spans="1:11" x14ac:dyDescent="0.2">
      <c r="A4369" t="s">
        <v>72</v>
      </c>
      <c r="B4369" t="s">
        <v>5288</v>
      </c>
      <c r="C4369" t="s">
        <v>13548</v>
      </c>
      <c r="D4369" t="s">
        <v>13549</v>
      </c>
      <c r="E4369" t="s">
        <v>313</v>
      </c>
      <c r="F4369" t="s">
        <v>12</v>
      </c>
      <c r="G4369" t="s">
        <v>24</v>
      </c>
      <c r="H4369">
        <f>8161*(1.01^10)</f>
        <v>9014.821165480842</v>
      </c>
      <c r="I4369">
        <f>34632*(1.01^10)</f>
        <v>38255.273447240841</v>
      </c>
      <c r="J4369" t="s">
        <v>13550</v>
      </c>
      <c r="K4369">
        <f t="shared" si="68"/>
        <v>132.85159579292798</v>
      </c>
    </row>
    <row r="4370" spans="1:11" x14ac:dyDescent="0.2">
      <c r="A4370" t="s">
        <v>72</v>
      </c>
      <c r="B4370" t="s">
        <v>5288</v>
      </c>
      <c r="C4370" t="s">
        <v>13551</v>
      </c>
      <c r="D4370" t="s">
        <v>13552</v>
      </c>
      <c r="E4370" t="s">
        <v>1340</v>
      </c>
      <c r="F4370" t="s">
        <v>24</v>
      </c>
      <c r="G4370" t="s">
        <v>24</v>
      </c>
      <c r="H4370">
        <f>6545*(1.01^10)</f>
        <v>7229.7518108163349</v>
      </c>
      <c r="I4370">
        <f>30339*(1.01^10)</f>
        <v>33513.130662850541</v>
      </c>
      <c r="J4370" t="s">
        <v>13553</v>
      </c>
      <c r="K4370">
        <f t="shared" si="68"/>
        <v>222.5920417135973</v>
      </c>
    </row>
    <row r="4371" spans="1:11" x14ac:dyDescent="0.2">
      <c r="A4371" t="s">
        <v>72</v>
      </c>
      <c r="B4371" t="s">
        <v>5288</v>
      </c>
      <c r="C4371" t="s">
        <v>13554</v>
      </c>
      <c r="D4371" t="s">
        <v>13555</v>
      </c>
      <c r="E4371" t="s">
        <v>520</v>
      </c>
      <c r="F4371" t="s">
        <v>24</v>
      </c>
      <c r="G4371" t="s">
        <v>24</v>
      </c>
      <c r="H4371">
        <f>9879*(1.01^10)</f>
        <v>10912.561976937292</v>
      </c>
      <c r="I4371">
        <f>47506*(1.01^10)</f>
        <v>52476.178689784691</v>
      </c>
      <c r="J4371" t="s">
        <v>13556</v>
      </c>
      <c r="K4371">
        <f t="shared" si="68"/>
        <v>248.08648246908686</v>
      </c>
    </row>
    <row r="4372" spans="1:11" x14ac:dyDescent="0.2">
      <c r="A4372" t="s">
        <v>72</v>
      </c>
      <c r="B4372" t="s">
        <v>5288</v>
      </c>
      <c r="C4372" t="s">
        <v>13557</v>
      </c>
      <c r="D4372" t="s">
        <v>13558</v>
      </c>
      <c r="E4372" t="s">
        <v>1580</v>
      </c>
      <c r="F4372" t="s">
        <v>24</v>
      </c>
      <c r="G4372" t="s">
        <v>24</v>
      </c>
      <c r="H4372">
        <f>9957*(1.01^10)</f>
        <v>10998.722502719365</v>
      </c>
      <c r="I4372">
        <f>49239*(1.01^10)</f>
        <v>54390.488833122312</v>
      </c>
      <c r="J4372" t="s">
        <v>13559</v>
      </c>
      <c r="K4372">
        <f t="shared" si="68"/>
        <v>120.66224274971421</v>
      </c>
    </row>
    <row r="4373" spans="1:11" x14ac:dyDescent="0.2">
      <c r="A4373" t="s">
        <v>72</v>
      </c>
      <c r="B4373" t="s">
        <v>5288</v>
      </c>
      <c r="C4373" t="s">
        <v>13560</v>
      </c>
      <c r="D4373" t="s">
        <v>13561</v>
      </c>
      <c r="E4373" t="s">
        <v>131</v>
      </c>
      <c r="F4373" t="s">
        <v>11</v>
      </c>
      <c r="G4373" t="s">
        <v>24</v>
      </c>
      <c r="H4373">
        <f>6664*(1.01^10)</f>
        <v>7361.2018437402685</v>
      </c>
      <c r="I4373">
        <f>30724*(1.01^10)</f>
        <v>33938.410181133855</v>
      </c>
      <c r="J4373" t="s">
        <v>13562</v>
      </c>
      <c r="K4373">
        <f t="shared" si="68"/>
        <v>93.360935340788927</v>
      </c>
    </row>
    <row r="4374" spans="1:11" x14ac:dyDescent="0.2">
      <c r="A4374" t="s">
        <v>72</v>
      </c>
      <c r="B4374" t="s">
        <v>5288</v>
      </c>
      <c r="C4374" t="s">
        <v>13563</v>
      </c>
      <c r="D4374" t="s">
        <v>13564</v>
      </c>
      <c r="E4374" t="s">
        <v>1506</v>
      </c>
      <c r="F4374" t="s">
        <v>17</v>
      </c>
      <c r="G4374" t="s">
        <v>24</v>
      </c>
      <c r="H4374">
        <f>7823*(1.01^10)</f>
        <v>8641.4588870918542</v>
      </c>
      <c r="I4374">
        <f>35523*(1.01^10)</f>
        <v>39239.49176098223</v>
      </c>
      <c r="J4374" t="s">
        <v>13565</v>
      </c>
      <c r="K4374">
        <f t="shared" si="68"/>
        <v>108.9874901396028</v>
      </c>
    </row>
    <row r="4375" spans="1:11" x14ac:dyDescent="0.2">
      <c r="A4375" t="s">
        <v>72</v>
      </c>
      <c r="B4375" t="s">
        <v>5288</v>
      </c>
      <c r="C4375" t="s">
        <v>13566</v>
      </c>
      <c r="D4375" t="s">
        <v>13567</v>
      </c>
      <c r="E4375" t="s">
        <v>61</v>
      </c>
      <c r="F4375" t="s">
        <v>11</v>
      </c>
      <c r="G4375" t="s">
        <v>24</v>
      </c>
      <c r="H4375">
        <f>7602*(1.01^10)</f>
        <v>8397.337397375979</v>
      </c>
      <c r="I4375">
        <f>31130*(1.01^10)</f>
        <v>34386.886764050803</v>
      </c>
      <c r="J4375" t="s">
        <v>13568</v>
      </c>
      <c r="K4375">
        <f t="shared" si="68"/>
        <v>107.05716402588521</v>
      </c>
    </row>
    <row r="4376" spans="1:11" x14ac:dyDescent="0.2">
      <c r="A4376" t="s">
        <v>72</v>
      </c>
      <c r="B4376" t="s">
        <v>5288</v>
      </c>
      <c r="C4376" t="s">
        <v>13569</v>
      </c>
      <c r="D4376" t="s">
        <v>13570</v>
      </c>
      <c r="E4376" t="s">
        <v>56</v>
      </c>
      <c r="F4376" t="s">
        <v>17</v>
      </c>
      <c r="G4376" t="s">
        <v>24</v>
      </c>
      <c r="H4376">
        <f>11976*(1.01^10)</f>
        <v>13228.954573924588</v>
      </c>
      <c r="I4376">
        <f>50938*(1.01^10)</f>
        <v>56267.241824195946</v>
      </c>
      <c r="J4376" t="s">
        <v>13571</v>
      </c>
      <c r="K4376">
        <f t="shared" si="68"/>
        <v>186.36932273429801</v>
      </c>
    </row>
    <row r="4377" spans="1:11" x14ac:dyDescent="0.2">
      <c r="A4377" t="s">
        <v>72</v>
      </c>
      <c r="B4377" t="s">
        <v>5288</v>
      </c>
      <c r="C4377" t="s">
        <v>13572</v>
      </c>
      <c r="D4377" t="s">
        <v>13573</v>
      </c>
      <c r="E4377" t="s">
        <v>674</v>
      </c>
      <c r="F4377" t="s">
        <v>17</v>
      </c>
      <c r="G4377" t="s">
        <v>24</v>
      </c>
      <c r="H4377">
        <f>11767*(1.01^10)</f>
        <v>12998.088549713646</v>
      </c>
      <c r="I4377">
        <f>49284*(1.01^10)</f>
        <v>54440.196828765816</v>
      </c>
      <c r="J4377" t="s">
        <v>13574</v>
      </c>
      <c r="K4377">
        <f t="shared" si="68"/>
        <v>84.401289310632009</v>
      </c>
    </row>
    <row r="4378" spans="1:11" x14ac:dyDescent="0.2">
      <c r="A4378" t="s">
        <v>72</v>
      </c>
      <c r="B4378" t="s">
        <v>5288</v>
      </c>
      <c r="C4378" t="s">
        <v>13575</v>
      </c>
      <c r="D4378" t="s">
        <v>13576</v>
      </c>
      <c r="E4378" t="s">
        <v>1506</v>
      </c>
      <c r="F4378" t="s">
        <v>17</v>
      </c>
      <c r="G4378" t="s">
        <v>12</v>
      </c>
      <c r="H4378">
        <f>26282*(1.01^10)</f>
        <v>29031.678700057284</v>
      </c>
      <c r="I4378">
        <f>110078*(1.01^10)</f>
        <v>121594.59432101459</v>
      </c>
      <c r="J4378" t="s">
        <v>13577</v>
      </c>
      <c r="K4378">
        <f t="shared" si="68"/>
        <v>267.04549309597979</v>
      </c>
    </row>
    <row r="4379" spans="1:11" x14ac:dyDescent="0.2">
      <c r="A4379" t="s">
        <v>72</v>
      </c>
      <c r="B4379" t="s">
        <v>5288</v>
      </c>
      <c r="C4379" t="s">
        <v>13578</v>
      </c>
      <c r="D4379" t="s">
        <v>13579</v>
      </c>
      <c r="E4379" t="s">
        <v>91</v>
      </c>
      <c r="F4379" t="s">
        <v>744</v>
      </c>
      <c r="G4379" t="s">
        <v>12</v>
      </c>
      <c r="H4379">
        <f>13411*(1.01^10)</f>
        <v>14814.087323889667</v>
      </c>
      <c r="I4379">
        <f>58511*(1.01^10)</f>
        <v>64632.545179934998</v>
      </c>
      <c r="J4379" t="s">
        <v>13580</v>
      </c>
      <c r="K4379">
        <f t="shared" si="68"/>
        <v>193.42586862401976</v>
      </c>
    </row>
    <row r="4380" spans="1:11" x14ac:dyDescent="0.2">
      <c r="A4380" t="s">
        <v>72</v>
      </c>
      <c r="B4380" t="s">
        <v>5288</v>
      </c>
      <c r="C4380" t="s">
        <v>13581</v>
      </c>
      <c r="D4380" t="s">
        <v>13582</v>
      </c>
      <c r="E4380" t="s">
        <v>411</v>
      </c>
      <c r="F4380" t="s">
        <v>24</v>
      </c>
      <c r="G4380" t="s">
        <v>12</v>
      </c>
      <c r="H4380">
        <f>6283*(1.01^10)</f>
        <v>6940.340813958599</v>
      </c>
      <c r="I4380">
        <f>31453*(1.01^10)</f>
        <v>34743.679710558623</v>
      </c>
      <c r="J4380" t="s">
        <v>13583</v>
      </c>
      <c r="K4380">
        <f t="shared" si="68"/>
        <v>152.21754678907706</v>
      </c>
    </row>
    <row r="4381" spans="1:11" x14ac:dyDescent="0.2">
      <c r="A4381" t="s">
        <v>72</v>
      </c>
      <c r="B4381" t="s">
        <v>5288</v>
      </c>
      <c r="C4381" t="s">
        <v>13584</v>
      </c>
      <c r="D4381" t="s">
        <v>13585</v>
      </c>
      <c r="E4381" t="s">
        <v>47</v>
      </c>
      <c r="F4381" t="s">
        <v>12</v>
      </c>
      <c r="G4381" t="s">
        <v>12</v>
      </c>
      <c r="H4381">
        <f>13486*(1.01^10)</f>
        <v>14896.933983295507</v>
      </c>
      <c r="I4381">
        <f>63465*(1.01^10)</f>
        <v>70104.843189222112</v>
      </c>
      <c r="J4381" t="s">
        <v>13586</v>
      </c>
      <c r="K4381">
        <f t="shared" si="68"/>
        <v>127.355953910152</v>
      </c>
    </row>
    <row r="4382" spans="1:11" x14ac:dyDescent="0.2">
      <c r="A4382" t="s">
        <v>72</v>
      </c>
      <c r="B4382" t="s">
        <v>5288</v>
      </c>
      <c r="C4382" t="s">
        <v>13587</v>
      </c>
      <c r="D4382" t="s">
        <v>13588</v>
      </c>
      <c r="E4382" t="s">
        <v>185</v>
      </c>
      <c r="F4382" t="s">
        <v>24</v>
      </c>
      <c r="G4382" t="s">
        <v>12</v>
      </c>
      <c r="H4382">
        <f>11373*(1.01^10)</f>
        <v>12562.867432301631</v>
      </c>
      <c r="I4382">
        <f>52840*(1.01^10)</f>
        <v>58368.233106728061</v>
      </c>
      <c r="J4382" t="s">
        <v>13589</v>
      </c>
      <c r="K4382">
        <f t="shared" si="68"/>
        <v>199.02881006298477</v>
      </c>
    </row>
    <row r="4383" spans="1:11" x14ac:dyDescent="0.2">
      <c r="A4383" t="s">
        <v>72</v>
      </c>
      <c r="B4383" t="s">
        <v>5288</v>
      </c>
      <c r="C4383" t="s">
        <v>13590</v>
      </c>
      <c r="D4383" t="s">
        <v>13591</v>
      </c>
      <c r="E4383" t="s">
        <v>56</v>
      </c>
      <c r="F4383" t="s">
        <v>11</v>
      </c>
      <c r="G4383" t="s">
        <v>24</v>
      </c>
      <c r="H4383">
        <f>6195*(1.01^10)</f>
        <v>6843.1340669224137</v>
      </c>
      <c r="I4383">
        <f>28911*(1.01^10)</f>
        <v>31935.730267763342</v>
      </c>
      <c r="J4383" t="s">
        <v>13592</v>
      </c>
      <c r="K4383">
        <f t="shared" si="68"/>
        <v>137.84404153180395</v>
      </c>
    </row>
    <row r="4384" spans="1:11" x14ac:dyDescent="0.2">
      <c r="A4384" t="s">
        <v>72</v>
      </c>
      <c r="B4384" t="s">
        <v>5288</v>
      </c>
      <c r="C4384" t="s">
        <v>13593</v>
      </c>
      <c r="D4384" t="s">
        <v>13594</v>
      </c>
      <c r="E4384" t="s">
        <v>1506</v>
      </c>
      <c r="F4384" t="s">
        <v>5</v>
      </c>
      <c r="G4384" t="s">
        <v>24</v>
      </c>
      <c r="H4384">
        <f>11046*(1.01^10)</f>
        <v>12201.655997292168</v>
      </c>
      <c r="I4384">
        <f>48216*(1.01^10)</f>
        <v>53260.460398826646</v>
      </c>
      <c r="J4384" t="s">
        <v>13595</v>
      </c>
      <c r="K4384">
        <f t="shared" si="68"/>
        <v>159.22032120366862</v>
      </c>
    </row>
    <row r="4385" spans="1:11" x14ac:dyDescent="0.2">
      <c r="A4385" t="s">
        <v>72</v>
      </c>
      <c r="B4385" t="s">
        <v>5288</v>
      </c>
      <c r="C4385" t="s">
        <v>13596</v>
      </c>
      <c r="D4385" t="s">
        <v>13597</v>
      </c>
      <c r="E4385" t="s">
        <v>16</v>
      </c>
      <c r="F4385" t="s">
        <v>5</v>
      </c>
      <c r="G4385" t="s">
        <v>24</v>
      </c>
      <c r="H4385">
        <f>6500*(1.01^10)</f>
        <v>7180.0438151728313</v>
      </c>
      <c r="I4385">
        <f>29633*(1.01^10)</f>
        <v>32733.267442310229</v>
      </c>
      <c r="J4385" t="s">
        <v>13598</v>
      </c>
      <c r="K4385">
        <f t="shared" si="68"/>
        <v>101.99422432534236</v>
      </c>
    </row>
    <row r="4386" spans="1:11" x14ac:dyDescent="0.2">
      <c r="A4386" t="s">
        <v>72</v>
      </c>
      <c r="B4386" t="s">
        <v>5288</v>
      </c>
      <c r="C4386" t="s">
        <v>13599</v>
      </c>
      <c r="D4386" t="s">
        <v>13600</v>
      </c>
      <c r="E4386" t="s">
        <v>427</v>
      </c>
      <c r="F4386" t="s">
        <v>24</v>
      </c>
      <c r="G4386" t="s">
        <v>24</v>
      </c>
      <c r="H4386">
        <f>5794*(1.01^10)</f>
        <v>6400.1805946325203</v>
      </c>
      <c r="I4386">
        <f>26097*(1.01^10)</f>
        <v>28827.323606856211</v>
      </c>
      <c r="J4386" t="s">
        <v>13601</v>
      </c>
      <c r="K4386">
        <f t="shared" si="68"/>
        <v>92.925729163007958</v>
      </c>
    </row>
    <row r="4387" spans="1:11" x14ac:dyDescent="0.2">
      <c r="A4387" t="s">
        <v>72</v>
      </c>
      <c r="B4387" t="s">
        <v>5288</v>
      </c>
      <c r="C4387" t="s">
        <v>13602</v>
      </c>
      <c r="D4387" t="s">
        <v>13603</v>
      </c>
      <c r="E4387" t="s">
        <v>313</v>
      </c>
      <c r="F4387" t="s">
        <v>5</v>
      </c>
      <c r="G4387" t="s">
        <v>24</v>
      </c>
      <c r="H4387">
        <f>8786*(1.01^10)</f>
        <v>9705.2099938628453</v>
      </c>
      <c r="I4387">
        <f>35859*(1.01^10)</f>
        <v>39610.644795120388</v>
      </c>
      <c r="J4387" t="s">
        <v>13604</v>
      </c>
      <c r="K4387">
        <f t="shared" si="68"/>
        <v>147.87218568171053</v>
      </c>
    </row>
    <row r="4388" spans="1:11" x14ac:dyDescent="0.2">
      <c r="A4388" t="s">
        <v>72</v>
      </c>
      <c r="B4388" t="s">
        <v>5288</v>
      </c>
      <c r="C4388" t="s">
        <v>13605</v>
      </c>
      <c r="D4388" t="s">
        <v>13606</v>
      </c>
      <c r="E4388" t="s">
        <v>1656</v>
      </c>
      <c r="F4388" t="s">
        <v>92</v>
      </c>
      <c r="G4388" t="s">
        <v>24</v>
      </c>
      <c r="H4388">
        <f>6799*(1.01^10)</f>
        <v>7510.3258306707812</v>
      </c>
      <c r="I4388">
        <f>26285*(1.01^10)</f>
        <v>29034.992566433517</v>
      </c>
      <c r="J4388" t="s">
        <v>13607</v>
      </c>
      <c r="K4388">
        <f t="shared" si="68"/>
        <v>128.6922682878573</v>
      </c>
    </row>
    <row r="4389" spans="1:11" x14ac:dyDescent="0.2">
      <c r="A4389" t="s">
        <v>72</v>
      </c>
      <c r="B4389" t="s">
        <v>5288</v>
      </c>
      <c r="C4389" t="s">
        <v>13608</v>
      </c>
      <c r="D4389" t="s">
        <v>13609</v>
      </c>
      <c r="E4389" t="s">
        <v>142</v>
      </c>
      <c r="F4389" t="s">
        <v>12</v>
      </c>
      <c r="G4389" t="s">
        <v>24</v>
      </c>
      <c r="H4389">
        <f>8742*(1.01^10)</f>
        <v>9656.6066203447517</v>
      </c>
      <c r="I4389">
        <f>34712*(1.01^10)</f>
        <v>38343.64321727374</v>
      </c>
      <c r="J4389" t="s">
        <v>13610</v>
      </c>
      <c r="K4389">
        <f t="shared" si="68"/>
        <v>107.44270173841561</v>
      </c>
    </row>
    <row r="4390" spans="1:11" x14ac:dyDescent="0.2">
      <c r="A4390" t="s">
        <v>72</v>
      </c>
      <c r="B4390" t="s">
        <v>5288</v>
      </c>
      <c r="C4390" t="s">
        <v>13611</v>
      </c>
      <c r="D4390" t="s">
        <v>13612</v>
      </c>
      <c r="E4390" t="s">
        <v>427</v>
      </c>
      <c r="F4390" t="s">
        <v>6</v>
      </c>
      <c r="G4390" t="s">
        <v>24</v>
      </c>
      <c r="H4390">
        <f>5025*(1.01^10)</f>
        <v>5550.7261801913037</v>
      </c>
      <c r="I4390">
        <f>19532*(1.01^10)</f>
        <v>21575.479353531649</v>
      </c>
      <c r="J4390" t="s">
        <v>13613</v>
      </c>
      <c r="K4390">
        <f t="shared" si="68"/>
        <v>77.20060915960434</v>
      </c>
    </row>
    <row r="4391" spans="1:11" x14ac:dyDescent="0.2">
      <c r="A4391" t="s">
        <v>72</v>
      </c>
      <c r="B4391" t="s">
        <v>5288</v>
      </c>
      <c r="C4391" t="s">
        <v>13614</v>
      </c>
      <c r="D4391" t="s">
        <v>13615</v>
      </c>
      <c r="E4391" t="s">
        <v>1340</v>
      </c>
      <c r="F4391" t="s">
        <v>152</v>
      </c>
      <c r="G4391" t="s">
        <v>24</v>
      </c>
      <c r="H4391">
        <f>6251*(1.01^10)</f>
        <v>6904.9929059454407</v>
      </c>
      <c r="I4391">
        <f>23534*(1.01^10)</f>
        <v>25996.177099427292</v>
      </c>
      <c r="J4391" t="s">
        <v>13616</v>
      </c>
      <c r="K4391">
        <f t="shared" si="68"/>
        <v>101.69937466907427</v>
      </c>
    </row>
    <row r="4392" spans="1:11" x14ac:dyDescent="0.2">
      <c r="A4392" t="s">
        <v>72</v>
      </c>
      <c r="B4392" t="s">
        <v>5288</v>
      </c>
      <c r="C4392" t="s">
        <v>13617</v>
      </c>
      <c r="D4392" t="s">
        <v>13618</v>
      </c>
      <c r="E4392" t="s">
        <v>422</v>
      </c>
      <c r="F4392" t="s">
        <v>5</v>
      </c>
      <c r="G4392" t="s">
        <v>24</v>
      </c>
      <c r="H4392">
        <f>8241*(1.01^10)</f>
        <v>9103.1909355137377</v>
      </c>
      <c r="I4392">
        <f>32617*(1.01^10)</f>
        <v>36029.459864537268</v>
      </c>
      <c r="J4392" t="s">
        <v>13619</v>
      </c>
      <c r="K4392">
        <f t="shared" si="68"/>
        <v>198.55367106928426</v>
      </c>
    </row>
    <row r="4393" spans="1:11" x14ac:dyDescent="0.2">
      <c r="A4393" t="s">
        <v>72</v>
      </c>
      <c r="B4393" t="s">
        <v>5288</v>
      </c>
      <c r="C4393" t="s">
        <v>13620</v>
      </c>
      <c r="D4393" t="s">
        <v>13621</v>
      </c>
      <c r="E4393" t="s">
        <v>47</v>
      </c>
      <c r="F4393" t="s">
        <v>11</v>
      </c>
      <c r="G4393" t="s">
        <v>24</v>
      </c>
      <c r="H4393">
        <f>6533*(1.01^10)</f>
        <v>7216.4963453114005</v>
      </c>
      <c r="I4393">
        <f>26410*(1.01^10)</f>
        <v>29173.070332109917</v>
      </c>
      <c r="J4393" t="s">
        <v>13622</v>
      </c>
      <c r="K4393">
        <f t="shared" si="68"/>
        <v>53.065975817442236</v>
      </c>
    </row>
    <row r="4394" spans="1:11" x14ac:dyDescent="0.2">
      <c r="A4394" t="s">
        <v>72</v>
      </c>
      <c r="B4394" t="s">
        <v>5288</v>
      </c>
      <c r="C4394" t="s">
        <v>13623</v>
      </c>
      <c r="D4394" t="s">
        <v>13624</v>
      </c>
      <c r="E4394" t="s">
        <v>77</v>
      </c>
      <c r="F4394" t="s">
        <v>12</v>
      </c>
      <c r="G4394" t="s">
        <v>24</v>
      </c>
      <c r="H4394">
        <f>13693*(1.01^10)</f>
        <v>15125.590763255626</v>
      </c>
      <c r="I4394">
        <f>52883*(1.01^10)</f>
        <v>58415.731858120744</v>
      </c>
      <c r="J4394" t="s">
        <v>13625</v>
      </c>
      <c r="K4394">
        <f t="shared" si="68"/>
        <v>147.49522226061154</v>
      </c>
    </row>
    <row r="4395" spans="1:11" x14ac:dyDescent="0.2">
      <c r="A4395" t="s">
        <v>72</v>
      </c>
      <c r="B4395" t="s">
        <v>5288</v>
      </c>
      <c r="C4395" t="s">
        <v>13626</v>
      </c>
      <c r="D4395" t="s">
        <v>13627</v>
      </c>
      <c r="E4395" t="s">
        <v>142</v>
      </c>
      <c r="F4395" t="s">
        <v>24</v>
      </c>
      <c r="G4395" t="s">
        <v>24</v>
      </c>
      <c r="H4395">
        <f>13036*(1.01^10)</f>
        <v>14399.854026860465</v>
      </c>
      <c r="I4395">
        <f>52703*(1.01^10)</f>
        <v>58216.899875546726</v>
      </c>
      <c r="J4395" t="s">
        <v>13628</v>
      </c>
      <c r="K4395">
        <f t="shared" si="68"/>
        <v>88.913529047098663</v>
      </c>
    </row>
    <row r="4396" spans="1:11" x14ac:dyDescent="0.2">
      <c r="A4396" t="s">
        <v>72</v>
      </c>
      <c r="B4396" t="s">
        <v>5288</v>
      </c>
      <c r="C4396" t="s">
        <v>13629</v>
      </c>
      <c r="D4396" t="s">
        <v>13630</v>
      </c>
      <c r="E4396" t="s">
        <v>427</v>
      </c>
      <c r="F4396" t="s">
        <v>17</v>
      </c>
      <c r="G4396" t="s">
        <v>24</v>
      </c>
      <c r="H4396">
        <f>11408*(1.01^10)</f>
        <v>12601.529206691024</v>
      </c>
      <c r="I4396">
        <f>48820*(1.01^10)</f>
        <v>53927.652162575017</v>
      </c>
      <c r="J4396" t="s">
        <v>13631</v>
      </c>
      <c r="K4396">
        <f t="shared" si="68"/>
        <v>209.84180904180658</v>
      </c>
    </row>
    <row r="4397" spans="1:11" x14ac:dyDescent="0.2">
      <c r="A4397" t="s">
        <v>72</v>
      </c>
      <c r="B4397" t="s">
        <v>5288</v>
      </c>
      <c r="C4397" t="s">
        <v>13632</v>
      </c>
      <c r="D4397" t="s">
        <v>13633</v>
      </c>
      <c r="E4397" t="s">
        <v>427</v>
      </c>
      <c r="F4397" t="s">
        <v>17</v>
      </c>
      <c r="G4397" t="s">
        <v>24</v>
      </c>
      <c r="H4397">
        <f>8272*(1.01^10)</f>
        <v>9137.434221401485</v>
      </c>
      <c r="I4397">
        <f>34190*(1.01^10)</f>
        <v>37767.030467809091</v>
      </c>
      <c r="J4397" t="s">
        <v>13634</v>
      </c>
      <c r="K4397">
        <f t="shared" si="68"/>
        <v>182.58734396795316</v>
      </c>
    </row>
    <row r="4398" spans="1:11" x14ac:dyDescent="0.2">
      <c r="A4398" t="s">
        <v>72</v>
      </c>
      <c r="B4398" t="s">
        <v>5288</v>
      </c>
      <c r="C4398" t="s">
        <v>13635</v>
      </c>
      <c r="D4398" t="s">
        <v>13636</v>
      </c>
      <c r="E4398" t="s">
        <v>142</v>
      </c>
      <c r="F4398" t="s">
        <v>24</v>
      </c>
      <c r="G4398" t="s">
        <v>24</v>
      </c>
      <c r="H4398">
        <f>10484*(1.01^10)</f>
        <v>11580.85836281107</v>
      </c>
      <c r="I4398">
        <f>47984*(1.01^10)</f>
        <v>53004.18806573125</v>
      </c>
      <c r="J4398" t="s">
        <v>13637</v>
      </c>
      <c r="K4398">
        <f t="shared" si="68"/>
        <v>181.17845153527975</v>
      </c>
    </row>
    <row r="4399" spans="1:11" x14ac:dyDescent="0.2">
      <c r="A4399" t="s">
        <v>72</v>
      </c>
      <c r="B4399" t="s">
        <v>5288</v>
      </c>
      <c r="C4399" t="s">
        <v>13638</v>
      </c>
      <c r="D4399" t="s">
        <v>13639</v>
      </c>
      <c r="E4399" t="s">
        <v>103</v>
      </c>
      <c r="F4399" t="s">
        <v>12</v>
      </c>
      <c r="G4399" t="s">
        <v>12</v>
      </c>
      <c r="H4399">
        <f>19922*(1.01^10)</f>
        <v>22006.281982442022</v>
      </c>
      <c r="I4399">
        <f>89417*(1.01^10)</f>
        <v>98771.996587893693</v>
      </c>
      <c r="J4399" t="s">
        <v>13640</v>
      </c>
      <c r="K4399">
        <f t="shared" si="68"/>
        <v>443.82480420985769</v>
      </c>
    </row>
    <row r="4400" spans="1:11" x14ac:dyDescent="0.2">
      <c r="A4400" t="s">
        <v>72</v>
      </c>
      <c r="B4400" t="s">
        <v>5288</v>
      </c>
      <c r="C4400" t="s">
        <v>13641</v>
      </c>
      <c r="D4400" t="s">
        <v>13642</v>
      </c>
      <c r="E4400" t="s">
        <v>374</v>
      </c>
      <c r="F4400" t="s">
        <v>17</v>
      </c>
      <c r="G4400" t="s">
        <v>24</v>
      </c>
      <c r="H4400">
        <f>8316*(1.01^10)</f>
        <v>9186.0375949195786</v>
      </c>
      <c r="I4400">
        <f>39752*(1.01^10)</f>
        <v>43910.938729346213</v>
      </c>
      <c r="J4400" t="s">
        <v>13643</v>
      </c>
      <c r="K4400">
        <f t="shared" si="68"/>
        <v>199.23442757022278</v>
      </c>
    </row>
    <row r="4401" spans="1:11" x14ac:dyDescent="0.2">
      <c r="A4401" t="s">
        <v>72</v>
      </c>
      <c r="B4401" t="s">
        <v>5288</v>
      </c>
      <c r="C4401" t="s">
        <v>13644</v>
      </c>
      <c r="D4401" t="s">
        <v>13645</v>
      </c>
      <c r="E4401" t="s">
        <v>97</v>
      </c>
      <c r="F4401" t="s">
        <v>6</v>
      </c>
      <c r="G4401" t="s">
        <v>24</v>
      </c>
      <c r="H4401">
        <f>12852*(1.01^10)</f>
        <v>14196.603555784803</v>
      </c>
      <c r="I4401">
        <f>55923*(1.01^10)</f>
        <v>61773.783119370804</v>
      </c>
      <c r="J4401" t="s">
        <v>13646</v>
      </c>
      <c r="K4401">
        <f t="shared" si="68"/>
        <v>213.59094582145286</v>
      </c>
    </row>
    <row r="4402" spans="1:11" x14ac:dyDescent="0.2">
      <c r="A4402" t="s">
        <v>72</v>
      </c>
      <c r="B4402" t="s">
        <v>5288</v>
      </c>
      <c r="C4402" t="s">
        <v>13647</v>
      </c>
      <c r="D4402" t="s">
        <v>13648</v>
      </c>
      <c r="E4402" t="s">
        <v>427</v>
      </c>
      <c r="F4402" t="s">
        <v>92</v>
      </c>
      <c r="G4402" t="s">
        <v>24</v>
      </c>
      <c r="H4402">
        <f>8643*(1.01^10)</f>
        <v>9547.2490299290421</v>
      </c>
      <c r="I4402">
        <f>34253*(1.01^10)</f>
        <v>37836.621661709993</v>
      </c>
      <c r="J4402" t="s">
        <v>13649</v>
      </c>
      <c r="K4402">
        <f t="shared" si="68"/>
        <v>170.85687653592075</v>
      </c>
    </row>
    <row r="4403" spans="1:11" x14ac:dyDescent="0.2">
      <c r="A4403" t="s">
        <v>72</v>
      </c>
      <c r="B4403" t="s">
        <v>5288</v>
      </c>
      <c r="C4403" t="s">
        <v>13650</v>
      </c>
      <c r="D4403" t="s">
        <v>13651</v>
      </c>
      <c r="E4403" t="s">
        <v>726</v>
      </c>
      <c r="F4403" t="s">
        <v>6</v>
      </c>
      <c r="G4403" t="s">
        <v>24</v>
      </c>
      <c r="H4403">
        <f>8904*(1.01^10)</f>
        <v>9835.555404661367</v>
      </c>
      <c r="I4403">
        <f>35780*(1.01^10)</f>
        <v>39523.379647212903</v>
      </c>
      <c r="J4403" t="s">
        <v>13652</v>
      </c>
      <c r="K4403">
        <f t="shared" si="68"/>
        <v>184.39212328280749</v>
      </c>
    </row>
    <row r="4404" spans="1:11" x14ac:dyDescent="0.2">
      <c r="A4404" t="s">
        <v>72</v>
      </c>
      <c r="B4404" t="s">
        <v>5288</v>
      </c>
      <c r="C4404" t="s">
        <v>13653</v>
      </c>
      <c r="D4404" t="s">
        <v>13654</v>
      </c>
      <c r="E4404" t="s">
        <v>97</v>
      </c>
      <c r="F4404" t="s">
        <v>5</v>
      </c>
      <c r="G4404" t="s">
        <v>12</v>
      </c>
      <c r="H4404">
        <f>32166*(1.01^10)</f>
        <v>35531.275285976815</v>
      </c>
      <c r="I4404">
        <f>139570*(1.01^10)</f>
        <v>154172.11004364185</v>
      </c>
      <c r="J4404" t="s">
        <v>13655</v>
      </c>
      <c r="K4404">
        <f t="shared" si="68"/>
        <v>707.7098045002441</v>
      </c>
    </row>
    <row r="4405" spans="1:11" x14ac:dyDescent="0.2">
      <c r="A4405" t="s">
        <v>72</v>
      </c>
      <c r="B4405" t="s">
        <v>5288</v>
      </c>
      <c r="C4405" t="s">
        <v>13656</v>
      </c>
      <c r="D4405" t="s">
        <v>13657</v>
      </c>
      <c r="E4405" t="s">
        <v>796</v>
      </c>
      <c r="F4405" t="s">
        <v>24</v>
      </c>
      <c r="G4405" t="s">
        <v>24</v>
      </c>
      <c r="H4405">
        <f>9411*(1.01^10)</f>
        <v>10395.598822244849</v>
      </c>
      <c r="I4405">
        <f>36739*(1.01^10)</f>
        <v>40582.712265482252</v>
      </c>
      <c r="J4405" t="s">
        <v>13658</v>
      </c>
      <c r="K4405">
        <f t="shared" si="68"/>
        <v>342.28993383244205</v>
      </c>
    </row>
    <row r="4406" spans="1:11" x14ac:dyDescent="0.2">
      <c r="A4406" t="s">
        <v>72</v>
      </c>
      <c r="B4406" t="s">
        <v>5288</v>
      </c>
      <c r="C4406" t="s">
        <v>13659</v>
      </c>
      <c r="D4406" t="s">
        <v>13660</v>
      </c>
      <c r="E4406" t="s">
        <v>220</v>
      </c>
      <c r="F4406" t="s">
        <v>5</v>
      </c>
      <c r="G4406" t="s">
        <v>24</v>
      </c>
      <c r="H4406">
        <f>7698*(1.01^10)</f>
        <v>8503.3811214154539</v>
      </c>
      <c r="I4406">
        <f>32303*(1.01^10)</f>
        <v>35682.608517158144</v>
      </c>
      <c r="J4406" t="s">
        <v>13661</v>
      </c>
      <c r="K4406">
        <f t="shared" si="68"/>
        <v>117.70520817360834</v>
      </c>
    </row>
    <row r="4407" spans="1:11" x14ac:dyDescent="0.2">
      <c r="A4407" t="s">
        <v>72</v>
      </c>
      <c r="B4407" t="s">
        <v>5288</v>
      </c>
      <c r="C4407" t="s">
        <v>13662</v>
      </c>
      <c r="D4407" t="s">
        <v>13663</v>
      </c>
      <c r="E4407" t="s">
        <v>374</v>
      </c>
      <c r="F4407" t="s">
        <v>24</v>
      </c>
      <c r="G4407" t="s">
        <v>12</v>
      </c>
      <c r="H4407">
        <f>14651*(1.01^10)</f>
        <v>16183.818759399561</v>
      </c>
      <c r="I4407">
        <f>61984*(1.01^10)</f>
        <v>68468.897821488121</v>
      </c>
      <c r="J4407" t="s">
        <v>13664</v>
      </c>
      <c r="K4407">
        <f t="shared" si="68"/>
        <v>135.10222711310772</v>
      </c>
    </row>
    <row r="4408" spans="1:11" x14ac:dyDescent="0.2">
      <c r="A4408" t="s">
        <v>72</v>
      </c>
      <c r="B4408" t="s">
        <v>5288</v>
      </c>
      <c r="C4408" t="s">
        <v>13665</v>
      </c>
      <c r="D4408" t="s">
        <v>13666</v>
      </c>
      <c r="E4408" t="s">
        <v>1656</v>
      </c>
      <c r="F4408" t="s">
        <v>12</v>
      </c>
      <c r="G4408" t="s">
        <v>24</v>
      </c>
      <c r="H4408">
        <f>13464*(1.01^10)</f>
        <v>14872.632296536462</v>
      </c>
      <c r="I4408">
        <f>49741*(1.01^10)</f>
        <v>54945.009140078735</v>
      </c>
      <c r="J4408" t="s">
        <v>13667</v>
      </c>
      <c r="K4408">
        <f t="shared" si="68"/>
        <v>323.28052725840968</v>
      </c>
    </row>
    <row r="4409" spans="1:11" x14ac:dyDescent="0.2">
      <c r="A4409" t="s">
        <v>72</v>
      </c>
      <c r="B4409" t="s">
        <v>5288</v>
      </c>
      <c r="C4409" t="s">
        <v>13668</v>
      </c>
      <c r="D4409" t="s">
        <v>13669</v>
      </c>
      <c r="E4409" t="s">
        <v>356</v>
      </c>
      <c r="F4409" t="s">
        <v>24</v>
      </c>
      <c r="G4409" t="s">
        <v>17</v>
      </c>
      <c r="H4409">
        <f>8566*(1.01^10)</f>
        <v>9462.1931262723792</v>
      </c>
      <c r="I4409">
        <f>32749*(1.01^10)</f>
        <v>36175.269985091545</v>
      </c>
      <c r="J4409" t="s">
        <v>13670</v>
      </c>
      <c r="K4409">
        <f t="shared" si="68"/>
        <v>117.21320477376797</v>
      </c>
    </row>
    <row r="4410" spans="1:11" x14ac:dyDescent="0.2">
      <c r="A4410" t="s">
        <v>72</v>
      </c>
      <c r="B4410" t="s">
        <v>5288</v>
      </c>
      <c r="C4410" t="s">
        <v>13671</v>
      </c>
      <c r="D4410" t="s">
        <v>13672</v>
      </c>
      <c r="E4410" t="s">
        <v>382</v>
      </c>
      <c r="F4410" t="s">
        <v>24</v>
      </c>
      <c r="G4410" t="s">
        <v>12</v>
      </c>
      <c r="H4410">
        <f>20599*(1.01^10)</f>
        <v>22754.111161345405</v>
      </c>
      <c r="I4410">
        <f>80897*(1.01^10)</f>
        <v>89360.616079390224</v>
      </c>
      <c r="J4410" t="s">
        <v>13673</v>
      </c>
      <c r="K4410">
        <f t="shared" si="68"/>
        <v>600.32447898118903</v>
      </c>
    </row>
    <row r="4411" spans="1:11" x14ac:dyDescent="0.2">
      <c r="A4411" t="s">
        <v>72</v>
      </c>
      <c r="B4411" t="s">
        <v>5288</v>
      </c>
      <c r="C4411" t="s">
        <v>13674</v>
      </c>
      <c r="D4411" t="s">
        <v>13675</v>
      </c>
      <c r="E4411" t="s">
        <v>520</v>
      </c>
      <c r="F4411" t="s">
        <v>11</v>
      </c>
      <c r="G4411" t="s">
        <v>24</v>
      </c>
      <c r="H4411">
        <f>8659*(1.01^10)</f>
        <v>9564.9229839356212</v>
      </c>
      <c r="I4411">
        <f>33110*(1.01^10)</f>
        <v>36574.038572364989</v>
      </c>
      <c r="J4411" t="s">
        <v>13676</v>
      </c>
      <c r="K4411">
        <f t="shared" si="68"/>
        <v>81.678465293540597</v>
      </c>
    </row>
    <row r="4412" spans="1:11" x14ac:dyDescent="0.2">
      <c r="A4412" t="s">
        <v>72</v>
      </c>
      <c r="B4412" t="s">
        <v>5288</v>
      </c>
      <c r="C4412" t="s">
        <v>13677</v>
      </c>
      <c r="D4412" t="s">
        <v>13678</v>
      </c>
      <c r="E4412" t="s">
        <v>152</v>
      </c>
      <c r="F4412" t="s">
        <v>12</v>
      </c>
      <c r="G4412" t="s">
        <v>17</v>
      </c>
      <c r="H4412">
        <f>24776*(1.01^10)</f>
        <v>27368.117779188007</v>
      </c>
      <c r="I4412">
        <f>100109*(1.01^10)</f>
        <v>110582.6163527903</v>
      </c>
      <c r="J4412" t="s">
        <v>13679</v>
      </c>
      <c r="K4412">
        <f t="shared" si="68"/>
        <v>699.99440839049453</v>
      </c>
    </row>
    <row r="4413" spans="1:11" x14ac:dyDescent="0.2">
      <c r="A4413" t="s">
        <v>72</v>
      </c>
      <c r="B4413" t="s">
        <v>5288</v>
      </c>
      <c r="C4413" t="s">
        <v>13680</v>
      </c>
      <c r="D4413" t="s">
        <v>13681</v>
      </c>
      <c r="E4413" t="s">
        <v>422</v>
      </c>
      <c r="F4413" t="s">
        <v>24</v>
      </c>
      <c r="G4413" t="s">
        <v>12</v>
      </c>
      <c r="H4413">
        <f>13457*(1.01^10)</f>
        <v>14864.899941658583</v>
      </c>
      <c r="I4413">
        <f>50674*(1.01^10)</f>
        <v>55975.621583087392</v>
      </c>
      <c r="J4413" t="s">
        <v>13682</v>
      </c>
      <c r="K4413">
        <f t="shared" si="68"/>
        <v>387.75094419041591</v>
      </c>
    </row>
    <row r="4414" spans="1:11" x14ac:dyDescent="0.2">
      <c r="A4414" t="s">
        <v>72</v>
      </c>
      <c r="B4414" t="s">
        <v>5288</v>
      </c>
      <c r="C4414" t="s">
        <v>13683</v>
      </c>
      <c r="D4414" t="s">
        <v>13684</v>
      </c>
      <c r="E4414" t="s">
        <v>356</v>
      </c>
      <c r="F4414" t="s">
        <v>17</v>
      </c>
      <c r="G4414" t="s">
        <v>92</v>
      </c>
      <c r="H4414">
        <f>48643*(1.01^10)</f>
        <v>53732.134046377236</v>
      </c>
      <c r="I4414">
        <f>195228*(1.01^10)</f>
        <v>215653.16829977868</v>
      </c>
      <c r="J4414" t="s">
        <v>13685</v>
      </c>
      <c r="K4414">
        <f t="shared" si="68"/>
        <v>629.12384882978836</v>
      </c>
    </row>
    <row r="4415" spans="1:11" x14ac:dyDescent="0.2">
      <c r="A4415" t="s">
        <v>72</v>
      </c>
      <c r="B4415" t="s">
        <v>5288</v>
      </c>
      <c r="C4415" t="s">
        <v>13686</v>
      </c>
      <c r="D4415" t="s">
        <v>2189</v>
      </c>
      <c r="E4415" t="s">
        <v>103</v>
      </c>
      <c r="F4415" t="s">
        <v>11</v>
      </c>
      <c r="G4415" t="s">
        <v>24</v>
      </c>
      <c r="H4415">
        <f>13342*(1.01^10)</f>
        <v>14737.868397236294</v>
      </c>
      <c r="I4415">
        <f>50079*(1.01^10)</f>
        <v>55318.371418467723</v>
      </c>
      <c r="J4415" t="s">
        <v>13687</v>
      </c>
      <c r="K4415">
        <f t="shared" si="68"/>
        <v>134.9844147430785</v>
      </c>
    </row>
    <row r="4416" spans="1:11" x14ac:dyDescent="0.2">
      <c r="A4416" t="s">
        <v>72</v>
      </c>
      <c r="B4416" t="s">
        <v>5288</v>
      </c>
      <c r="C4416" t="s">
        <v>13688</v>
      </c>
      <c r="D4416" t="s">
        <v>13689</v>
      </c>
      <c r="E4416" t="s">
        <v>220</v>
      </c>
      <c r="F4416" t="s">
        <v>5</v>
      </c>
      <c r="G4416" t="s">
        <v>12</v>
      </c>
      <c r="H4416">
        <f>14225*(1.01^10)</f>
        <v>15713.249733974388</v>
      </c>
      <c r="I4416">
        <f>54692*(1.01^10)</f>
        <v>60413.993282989613</v>
      </c>
      <c r="J4416" t="s">
        <v>13690</v>
      </c>
      <c r="K4416">
        <f t="shared" si="68"/>
        <v>153.86519948691924</v>
      </c>
    </row>
    <row r="4417" spans="1:11" x14ac:dyDescent="0.2">
      <c r="A4417" t="s">
        <v>72</v>
      </c>
      <c r="B4417" t="s">
        <v>952</v>
      </c>
      <c r="C4417" t="s">
        <v>13691</v>
      </c>
      <c r="D4417" t="s">
        <v>13692</v>
      </c>
      <c r="E4417" t="s">
        <v>405</v>
      </c>
      <c r="F4417" t="s">
        <v>24</v>
      </c>
      <c r="G4417" t="s">
        <v>24</v>
      </c>
      <c r="H4417">
        <f>9076*(1.01^10)</f>
        <v>10025.550410232094</v>
      </c>
      <c r="I4417">
        <f>38880*(1.01^10)</f>
        <v>42947.708235987644</v>
      </c>
      <c r="J4417" t="s">
        <v>13693</v>
      </c>
      <c r="K4417">
        <f t="shared" si="68"/>
        <v>371.25203910673207</v>
      </c>
    </row>
    <row r="4418" spans="1:11" x14ac:dyDescent="0.2">
      <c r="A4418" t="s">
        <v>72</v>
      </c>
      <c r="B4418" t="s">
        <v>952</v>
      </c>
      <c r="C4418" t="s">
        <v>13694</v>
      </c>
      <c r="D4418" t="s">
        <v>13695</v>
      </c>
      <c r="E4418" t="s">
        <v>220</v>
      </c>
      <c r="F4418" t="s">
        <v>11</v>
      </c>
      <c r="G4418" t="s">
        <v>24</v>
      </c>
      <c r="H4418">
        <f>13305*(1.01^10)</f>
        <v>14696.997378596079</v>
      </c>
      <c r="I4418">
        <f>55125*(1.01^10)</f>
        <v>60892.294663292661</v>
      </c>
      <c r="J4418" t="s">
        <v>13696</v>
      </c>
      <c r="K4418">
        <f t="shared" si="68"/>
        <v>256.67596620503451</v>
      </c>
    </row>
    <row r="4419" spans="1:11" x14ac:dyDescent="0.2">
      <c r="A4419" t="s">
        <v>72</v>
      </c>
      <c r="B4419" t="s">
        <v>952</v>
      </c>
      <c r="C4419" t="s">
        <v>13697</v>
      </c>
      <c r="D4419" t="s">
        <v>13698</v>
      </c>
      <c r="E4419" t="s">
        <v>1656</v>
      </c>
      <c r="F4419" t="s">
        <v>17</v>
      </c>
      <c r="G4419" t="s">
        <v>24</v>
      </c>
      <c r="H4419">
        <f>18407*(1.01^10)</f>
        <v>20332.779462444047</v>
      </c>
      <c r="I4419">
        <f>70598*(1.01^10)</f>
        <v>77984.112809780228</v>
      </c>
      <c r="J4419" t="s">
        <v>13699</v>
      </c>
      <c r="K4419">
        <f t="shared" ref="K4419:K4482" si="69">I4419/J4419</f>
        <v>257.11679288538664</v>
      </c>
    </row>
    <row r="4420" spans="1:11" x14ac:dyDescent="0.2">
      <c r="A4420" t="s">
        <v>72</v>
      </c>
      <c r="B4420" t="s">
        <v>952</v>
      </c>
      <c r="C4420" t="s">
        <v>13700</v>
      </c>
      <c r="D4420" t="s">
        <v>13701</v>
      </c>
      <c r="E4420" t="s">
        <v>356</v>
      </c>
      <c r="F4420" t="s">
        <v>12</v>
      </c>
      <c r="G4420" t="s">
        <v>12</v>
      </c>
      <c r="H4420">
        <f>29962*(1.01^10)</f>
        <v>33096.688121570514</v>
      </c>
      <c r="I4420">
        <f>121987*(1.01^10)</f>
        <v>134749.53921253662</v>
      </c>
      <c r="J4420" t="s">
        <v>13702</v>
      </c>
      <c r="K4420">
        <f t="shared" si="69"/>
        <v>614.98801550997098</v>
      </c>
    </row>
    <row r="4421" spans="1:11" x14ac:dyDescent="0.2">
      <c r="A4421" t="s">
        <v>72</v>
      </c>
      <c r="B4421" t="s">
        <v>952</v>
      </c>
      <c r="C4421" t="s">
        <v>13703</v>
      </c>
      <c r="D4421" t="s">
        <v>13704</v>
      </c>
      <c r="E4421" t="s">
        <v>1340</v>
      </c>
      <c r="F4421" t="s">
        <v>5</v>
      </c>
      <c r="G4421" t="s">
        <v>12</v>
      </c>
      <c r="H4421">
        <f>20027*(1.01^10)</f>
        <v>22122.267305610196</v>
      </c>
      <c r="I4421">
        <f>81003*(1.01^10)</f>
        <v>89477.706024683823</v>
      </c>
      <c r="J4421" t="s">
        <v>13705</v>
      </c>
      <c r="K4421">
        <f t="shared" si="69"/>
        <v>455.7099104061582</v>
      </c>
    </row>
    <row r="4422" spans="1:11" x14ac:dyDescent="0.2">
      <c r="A4422" t="s">
        <v>72</v>
      </c>
      <c r="B4422" t="s">
        <v>952</v>
      </c>
      <c r="C4422" t="s">
        <v>13706</v>
      </c>
      <c r="D4422" t="s">
        <v>13707</v>
      </c>
      <c r="E4422" t="s">
        <v>411</v>
      </c>
      <c r="F4422" t="s">
        <v>24</v>
      </c>
      <c r="G4422" t="s">
        <v>24</v>
      </c>
      <c r="H4422">
        <f>14273*(1.01^10)</f>
        <v>15766.271595994125</v>
      </c>
      <c r="I4422">
        <f>56153*(1.01^10)</f>
        <v>62027.846208215378</v>
      </c>
      <c r="J4422" t="s">
        <v>13708</v>
      </c>
      <c r="K4422">
        <f t="shared" si="69"/>
        <v>290.8101803001685</v>
      </c>
    </row>
    <row r="4423" spans="1:11" x14ac:dyDescent="0.2">
      <c r="A4423" t="s">
        <v>72</v>
      </c>
      <c r="B4423" t="s">
        <v>952</v>
      </c>
      <c r="C4423" t="s">
        <v>13709</v>
      </c>
      <c r="D4423" t="s">
        <v>13710</v>
      </c>
      <c r="E4423" t="s">
        <v>318</v>
      </c>
      <c r="F4423" t="s">
        <v>5</v>
      </c>
      <c r="G4423" t="s">
        <v>24</v>
      </c>
      <c r="H4423">
        <f>10736*(1.01^10)</f>
        <v>11859.223138414694</v>
      </c>
      <c r="I4423">
        <f>42765*(1.01^10)</f>
        <v>47239.165193210174</v>
      </c>
      <c r="J4423" t="s">
        <v>13711</v>
      </c>
      <c r="K4423">
        <f t="shared" si="69"/>
        <v>199.55609139732525</v>
      </c>
    </row>
    <row r="4424" spans="1:11" x14ac:dyDescent="0.2">
      <c r="A4424" t="s">
        <v>72</v>
      </c>
      <c r="B4424" t="s">
        <v>952</v>
      </c>
      <c r="C4424" t="s">
        <v>13712</v>
      </c>
      <c r="D4424" t="s">
        <v>13713</v>
      </c>
      <c r="E4424" t="s">
        <v>726</v>
      </c>
      <c r="F4424" t="s">
        <v>24</v>
      </c>
      <c r="G4424" t="s">
        <v>24</v>
      </c>
      <c r="H4424">
        <f>14965*(1.01^10)</f>
        <v>16530.670106778678</v>
      </c>
      <c r="I4424">
        <f>62666*(1.01^10)</f>
        <v>69222.250111018555</v>
      </c>
      <c r="J4424" t="s">
        <v>13714</v>
      </c>
      <c r="K4424">
        <f t="shared" si="69"/>
        <v>321.14260665810582</v>
      </c>
    </row>
    <row r="4425" spans="1:11" x14ac:dyDescent="0.2">
      <c r="A4425" t="s">
        <v>72</v>
      </c>
      <c r="B4425" t="s">
        <v>952</v>
      </c>
      <c r="C4425" t="s">
        <v>13715</v>
      </c>
      <c r="D4425" t="s">
        <v>13716</v>
      </c>
      <c r="E4425" t="s">
        <v>44</v>
      </c>
      <c r="F4425" t="s">
        <v>24</v>
      </c>
      <c r="G4425" t="s">
        <v>24</v>
      </c>
      <c r="H4425">
        <f>10538*(1.01^10)</f>
        <v>11640.507957583275</v>
      </c>
      <c r="I4425">
        <f>42486*(1.01^10)</f>
        <v>46930.975620220444</v>
      </c>
      <c r="J4425" t="s">
        <v>13717</v>
      </c>
      <c r="K4425">
        <f t="shared" si="69"/>
        <v>388.09992496118275</v>
      </c>
    </row>
    <row r="4426" spans="1:11" x14ac:dyDescent="0.2">
      <c r="A4426" t="s">
        <v>72</v>
      </c>
      <c r="B4426" t="s">
        <v>952</v>
      </c>
      <c r="C4426" t="s">
        <v>13718</v>
      </c>
      <c r="D4426" t="s">
        <v>13719</v>
      </c>
      <c r="E4426" t="s">
        <v>44</v>
      </c>
      <c r="F4426" t="s">
        <v>24</v>
      </c>
      <c r="G4426" t="s">
        <v>24</v>
      </c>
      <c r="H4426">
        <f>11182*(1.01^10)</f>
        <v>12351.884606348092</v>
      </c>
      <c r="I4426">
        <f>45505*(1.01^10)</f>
        <v>50265.829816836871</v>
      </c>
      <c r="J4426" t="s">
        <v>13720</v>
      </c>
      <c r="K4426">
        <f t="shared" si="69"/>
        <v>349.28193905121185</v>
      </c>
    </row>
    <row r="4427" spans="1:11" x14ac:dyDescent="0.2">
      <c r="A4427" t="s">
        <v>72</v>
      </c>
      <c r="B4427" t="s">
        <v>952</v>
      </c>
      <c r="C4427" t="s">
        <v>13721</v>
      </c>
      <c r="D4427" t="s">
        <v>13722</v>
      </c>
      <c r="E4427" t="s">
        <v>796</v>
      </c>
      <c r="F4427" t="s">
        <v>24</v>
      </c>
      <c r="G4427" t="s">
        <v>24</v>
      </c>
      <c r="H4427">
        <f>14500*(1.01^10)</f>
        <v>16017.020818462468</v>
      </c>
      <c r="I4427">
        <f>58588*(1.01^10)</f>
        <v>64717.60108359166</v>
      </c>
      <c r="J4427" t="s">
        <v>13723</v>
      </c>
      <c r="K4427">
        <f t="shared" si="69"/>
        <v>285.68402170545966</v>
      </c>
    </row>
    <row r="4428" spans="1:11" x14ac:dyDescent="0.2">
      <c r="A4428" t="s">
        <v>72</v>
      </c>
      <c r="B4428" t="s">
        <v>952</v>
      </c>
      <c r="C4428" t="s">
        <v>13724</v>
      </c>
      <c r="D4428" t="s">
        <v>3552</v>
      </c>
      <c r="E4428" t="s">
        <v>520</v>
      </c>
      <c r="F4428" t="s">
        <v>12</v>
      </c>
      <c r="G4428" t="s">
        <v>12</v>
      </c>
      <c r="H4428">
        <f>89657*(1.01^10)</f>
        <v>99037.105897992384</v>
      </c>
      <c r="I4428">
        <f>412500*(1.01^10)</f>
        <v>455656.62673212198</v>
      </c>
      <c r="J4428" t="s">
        <v>13725</v>
      </c>
      <c r="K4428">
        <f t="shared" si="69"/>
        <v>1186.5498660332094</v>
      </c>
    </row>
    <row r="4429" spans="1:11" x14ac:dyDescent="0.2">
      <c r="A4429" t="s">
        <v>72</v>
      </c>
      <c r="B4429" t="s">
        <v>952</v>
      </c>
      <c r="C4429" t="s">
        <v>13726</v>
      </c>
      <c r="D4429" t="s">
        <v>13727</v>
      </c>
      <c r="E4429" t="s">
        <v>405</v>
      </c>
      <c r="F4429" t="s">
        <v>17</v>
      </c>
      <c r="G4429" t="s">
        <v>24</v>
      </c>
      <c r="H4429">
        <f>9403*(1.01^10)</f>
        <v>10386.761845241559</v>
      </c>
      <c r="I4429">
        <f>40028*(1.01^10)</f>
        <v>44215.814435959706</v>
      </c>
      <c r="J4429" t="s">
        <v>13728</v>
      </c>
      <c r="K4429">
        <f t="shared" si="69"/>
        <v>488.34353904262485</v>
      </c>
    </row>
    <row r="4430" spans="1:11" x14ac:dyDescent="0.2">
      <c r="A4430" t="s">
        <v>72</v>
      </c>
      <c r="B4430" t="s">
        <v>952</v>
      </c>
      <c r="C4430" t="s">
        <v>13729</v>
      </c>
      <c r="D4430" t="s">
        <v>13730</v>
      </c>
      <c r="E4430" t="s">
        <v>1506</v>
      </c>
      <c r="F4430" t="s">
        <v>5</v>
      </c>
      <c r="G4430" t="s">
        <v>12</v>
      </c>
      <c r="H4430">
        <f>32319*(1.01^10)</f>
        <v>35700.282471164726</v>
      </c>
      <c r="I4430">
        <f>143749*(1.01^10)</f>
        <v>158788.32590573528</v>
      </c>
      <c r="J4430" t="s">
        <v>13731</v>
      </c>
      <c r="K4430">
        <f t="shared" si="69"/>
        <v>565.07775241890874</v>
      </c>
    </row>
    <row r="4431" spans="1:11" x14ac:dyDescent="0.2">
      <c r="A4431" t="s">
        <v>72</v>
      </c>
      <c r="B4431" t="s">
        <v>952</v>
      </c>
      <c r="C4431" t="s">
        <v>13732</v>
      </c>
      <c r="D4431" t="s">
        <v>13733</v>
      </c>
      <c r="E4431" t="s">
        <v>374</v>
      </c>
      <c r="F4431" t="s">
        <v>152</v>
      </c>
      <c r="G4431" t="s">
        <v>24</v>
      </c>
      <c r="H4431">
        <f>13714*(1.01^10)</f>
        <v>15148.787827889262</v>
      </c>
      <c r="I4431">
        <f>56917*(1.01^10)</f>
        <v>62871.777512029541</v>
      </c>
      <c r="J4431" t="s">
        <v>13734</v>
      </c>
      <c r="K4431">
        <f t="shared" si="69"/>
        <v>364.62712179936273</v>
      </c>
    </row>
    <row r="4432" spans="1:11" x14ac:dyDescent="0.2">
      <c r="A4432" t="s">
        <v>72</v>
      </c>
      <c r="B4432" t="s">
        <v>952</v>
      </c>
      <c r="C4432" t="s">
        <v>13735</v>
      </c>
      <c r="D4432" t="s">
        <v>13736</v>
      </c>
      <c r="E4432" t="s">
        <v>142</v>
      </c>
      <c r="F4432" t="s">
        <v>5</v>
      </c>
      <c r="G4432" t="s">
        <v>24</v>
      </c>
      <c r="H4432">
        <f>12511*(1.01^10)</f>
        <v>13819.927411019582</v>
      </c>
      <c r="I4432">
        <f>59002*(1.01^10)</f>
        <v>65174.914643511904</v>
      </c>
      <c r="J4432" t="s">
        <v>13737</v>
      </c>
      <c r="K4432">
        <f t="shared" si="69"/>
        <v>277.20933676502017</v>
      </c>
    </row>
    <row r="4433" spans="1:11" x14ac:dyDescent="0.2">
      <c r="A4433" t="s">
        <v>72</v>
      </c>
      <c r="B4433" t="s">
        <v>952</v>
      </c>
      <c r="C4433" t="s">
        <v>13738</v>
      </c>
      <c r="D4433" t="s">
        <v>13739</v>
      </c>
      <c r="E4433" t="s">
        <v>97</v>
      </c>
      <c r="F4433" t="s">
        <v>17</v>
      </c>
      <c r="G4433" t="s">
        <v>24</v>
      </c>
      <c r="H4433">
        <f>11273*(1.01^10)</f>
        <v>12452.405219760511</v>
      </c>
      <c r="I4433">
        <f>53980*(1.01^10)</f>
        <v>59627.502329696836</v>
      </c>
      <c r="J4433" t="s">
        <v>13740</v>
      </c>
      <c r="K4433">
        <f t="shared" si="69"/>
        <v>286.65599357903585</v>
      </c>
    </row>
    <row r="4434" spans="1:11" x14ac:dyDescent="0.2">
      <c r="A4434" t="s">
        <v>72</v>
      </c>
      <c r="B4434" t="s">
        <v>952</v>
      </c>
      <c r="C4434" t="s">
        <v>13741</v>
      </c>
      <c r="D4434" t="s">
        <v>13742</v>
      </c>
      <c r="E4434" t="s">
        <v>1506</v>
      </c>
      <c r="F4434" t="s">
        <v>11</v>
      </c>
      <c r="G4434" t="s">
        <v>24</v>
      </c>
      <c r="H4434">
        <f>13958*(1.01^10)</f>
        <v>15418.315626489595</v>
      </c>
      <c r="I4434">
        <f>64044*(1.01^10)</f>
        <v>70744.419399835198</v>
      </c>
      <c r="J4434" t="s">
        <v>13743</v>
      </c>
      <c r="K4434">
        <f t="shared" si="69"/>
        <v>266.0733505167521</v>
      </c>
    </row>
    <row r="4435" spans="1:11" x14ac:dyDescent="0.2">
      <c r="A4435" t="s">
        <v>72</v>
      </c>
      <c r="B4435" t="s">
        <v>952</v>
      </c>
      <c r="C4435" t="s">
        <v>13744</v>
      </c>
      <c r="D4435" t="s">
        <v>13745</v>
      </c>
      <c r="E4435" t="s">
        <v>726</v>
      </c>
      <c r="F4435" t="s">
        <v>6</v>
      </c>
      <c r="G4435" t="s">
        <v>24</v>
      </c>
      <c r="H4435">
        <f>12108*(1.01^10)</f>
        <v>13374.764694478867</v>
      </c>
      <c r="I4435">
        <f>50391*(1.01^10)</f>
        <v>55663.013521596018</v>
      </c>
      <c r="J4435" t="s">
        <v>13746</v>
      </c>
      <c r="K4435">
        <f t="shared" si="69"/>
        <v>331.15262723724851</v>
      </c>
    </row>
    <row r="4436" spans="1:11" x14ac:dyDescent="0.2">
      <c r="A4436" t="s">
        <v>72</v>
      </c>
      <c r="B4436" t="s">
        <v>952</v>
      </c>
      <c r="C4436" t="s">
        <v>13747</v>
      </c>
      <c r="D4436" t="s">
        <v>13748</v>
      </c>
      <c r="E4436" t="s">
        <v>427</v>
      </c>
      <c r="F4436" t="s">
        <v>17</v>
      </c>
      <c r="G4436" t="s">
        <v>24</v>
      </c>
      <c r="H4436">
        <f>17712*(1.01^10)</f>
        <v>19565.067085283259</v>
      </c>
      <c r="I4436">
        <f>72230*(1.01^10)</f>
        <v>79786.856118451324</v>
      </c>
      <c r="J4436" t="s">
        <v>13749</v>
      </c>
      <c r="K4436">
        <f t="shared" si="69"/>
        <v>320.85287495233331</v>
      </c>
    </row>
    <row r="4437" spans="1:11" x14ac:dyDescent="0.2">
      <c r="A4437" t="s">
        <v>72</v>
      </c>
      <c r="B4437" t="s">
        <v>952</v>
      </c>
      <c r="C4437" t="s">
        <v>13750</v>
      </c>
      <c r="D4437" t="s">
        <v>13751</v>
      </c>
      <c r="E4437" t="s">
        <v>356</v>
      </c>
      <c r="F4437" t="s">
        <v>24</v>
      </c>
      <c r="G4437" t="s">
        <v>12</v>
      </c>
      <c r="H4437">
        <f>17460*(1.01^10)</f>
        <v>19286.702309679637</v>
      </c>
      <c r="I4437">
        <f>76896*(1.01^10)</f>
        <v>84941.022955620007</v>
      </c>
      <c r="J4437" t="s">
        <v>13752</v>
      </c>
      <c r="K4437">
        <f t="shared" si="69"/>
        <v>363.38937085509718</v>
      </c>
    </row>
    <row r="4438" spans="1:11" x14ac:dyDescent="0.2">
      <c r="A4438" t="s">
        <v>72</v>
      </c>
      <c r="B4438" t="s">
        <v>952</v>
      </c>
      <c r="C4438" t="s">
        <v>13753</v>
      </c>
      <c r="D4438" t="s">
        <v>13754</v>
      </c>
      <c r="E4438" t="s">
        <v>318</v>
      </c>
      <c r="F4438" t="s">
        <v>12</v>
      </c>
      <c r="G4438" t="s">
        <v>24</v>
      </c>
      <c r="H4438">
        <f>11220*(1.01^10)</f>
        <v>12393.860247113716</v>
      </c>
      <c r="I4438">
        <f>47954*(1.01^10)</f>
        <v>52971.049401968914</v>
      </c>
      <c r="J4438" t="s">
        <v>13755</v>
      </c>
      <c r="K4438">
        <f t="shared" si="69"/>
        <v>172.91672501852432</v>
      </c>
    </row>
    <row r="4439" spans="1:11" x14ac:dyDescent="0.2">
      <c r="A4439" t="s">
        <v>72</v>
      </c>
      <c r="B4439" t="s">
        <v>952</v>
      </c>
      <c r="C4439" t="s">
        <v>13756</v>
      </c>
      <c r="D4439" t="s">
        <v>13757</v>
      </c>
      <c r="E4439" t="s">
        <v>1340</v>
      </c>
      <c r="F4439" t="s">
        <v>12</v>
      </c>
      <c r="G4439" t="s">
        <v>24</v>
      </c>
      <c r="H4439">
        <f>11943*(1.01^10)</f>
        <v>13192.502043786018</v>
      </c>
      <c r="I4439">
        <f>51078*(1.01^10)</f>
        <v>56421.888921753518</v>
      </c>
      <c r="J4439" t="s">
        <v>13758</v>
      </c>
      <c r="K4439">
        <f t="shared" si="69"/>
        <v>161.52525442230689</v>
      </c>
    </row>
    <row r="4440" spans="1:11" x14ac:dyDescent="0.2">
      <c r="A4440" t="s">
        <v>72</v>
      </c>
      <c r="B4440" t="s">
        <v>952</v>
      </c>
      <c r="C4440" t="s">
        <v>13759</v>
      </c>
      <c r="D4440" t="s">
        <v>13760</v>
      </c>
      <c r="E4440" t="s">
        <v>726</v>
      </c>
      <c r="F4440" t="s">
        <v>24</v>
      </c>
      <c r="G4440" t="s">
        <v>24</v>
      </c>
      <c r="H4440">
        <f>13870*(1.01^10)</f>
        <v>15321.10887945341</v>
      </c>
      <c r="I4440">
        <f>58443*(1.01^10)</f>
        <v>64557.430875407037</v>
      </c>
      <c r="J4440" t="s">
        <v>13761</v>
      </c>
      <c r="K4440">
        <f t="shared" si="69"/>
        <v>205.80480018191778</v>
      </c>
    </row>
    <row r="4441" spans="1:11" x14ac:dyDescent="0.2">
      <c r="A4441" t="s">
        <v>72</v>
      </c>
      <c r="B4441" t="s">
        <v>952</v>
      </c>
      <c r="C4441" t="s">
        <v>13762</v>
      </c>
      <c r="D4441" t="s">
        <v>13763</v>
      </c>
      <c r="E4441" t="s">
        <v>313</v>
      </c>
      <c r="F4441" t="s">
        <v>12</v>
      </c>
      <c r="G4441" t="s">
        <v>24</v>
      </c>
      <c r="H4441">
        <f>13708*(1.01^10)</f>
        <v>15142.160095136795</v>
      </c>
      <c r="I4441">
        <f>56005*(1.01^10)</f>
        <v>61864.362133654518</v>
      </c>
      <c r="J4441" t="s">
        <v>13764</v>
      </c>
      <c r="K4441">
        <f t="shared" si="69"/>
        <v>262.61294063733686</v>
      </c>
    </row>
    <row r="4442" spans="1:11" x14ac:dyDescent="0.2">
      <c r="A4442" t="s">
        <v>72</v>
      </c>
      <c r="B4442" t="s">
        <v>952</v>
      </c>
      <c r="C4442" t="s">
        <v>13765</v>
      </c>
      <c r="D4442" t="s">
        <v>13766</v>
      </c>
      <c r="E4442" t="s">
        <v>520</v>
      </c>
      <c r="F4442" t="s">
        <v>11</v>
      </c>
      <c r="G4442" t="s">
        <v>24</v>
      </c>
      <c r="H4442">
        <f>12449*(1.01^10)</f>
        <v>13751.440839244087</v>
      </c>
      <c r="I4442">
        <f>58535*(1.01^10)</f>
        <v>64659.056110944868</v>
      </c>
      <c r="J4442" t="s">
        <v>13767</v>
      </c>
      <c r="K4442">
        <f t="shared" si="69"/>
        <v>171.34069199517046</v>
      </c>
    </row>
    <row r="4443" spans="1:11" x14ac:dyDescent="0.2">
      <c r="A4443" t="s">
        <v>72</v>
      </c>
      <c r="B4443" t="s">
        <v>952</v>
      </c>
      <c r="C4443" t="s">
        <v>13768</v>
      </c>
      <c r="D4443" t="s">
        <v>13769</v>
      </c>
      <c r="E4443" t="s">
        <v>44</v>
      </c>
      <c r="F4443" t="s">
        <v>17</v>
      </c>
      <c r="G4443" t="s">
        <v>12</v>
      </c>
      <c r="H4443">
        <f>15291*(1.01^10)</f>
        <v>16890.776919662731</v>
      </c>
      <c r="I4443">
        <f>68732*(1.01^10)</f>
        <v>75922.88792376293</v>
      </c>
      <c r="J4443" t="s">
        <v>13770</v>
      </c>
      <c r="K4443">
        <f t="shared" si="69"/>
        <v>561.24789433791511</v>
      </c>
    </row>
    <row r="4444" spans="1:11" x14ac:dyDescent="0.2">
      <c r="A4444" t="s">
        <v>72</v>
      </c>
      <c r="B4444" t="s">
        <v>952</v>
      </c>
      <c r="C4444" t="s">
        <v>13771</v>
      </c>
      <c r="D4444" t="s">
        <v>13772</v>
      </c>
      <c r="E4444" t="s">
        <v>313</v>
      </c>
      <c r="F4444" t="s">
        <v>12</v>
      </c>
      <c r="G4444" t="s">
        <v>24</v>
      </c>
      <c r="H4444">
        <f>10484*(1.01^10)</f>
        <v>11580.85836281107</v>
      </c>
      <c r="I4444">
        <f>47581*(1.01^10)</f>
        <v>52559.025349190531</v>
      </c>
      <c r="J4444" t="s">
        <v>13773</v>
      </c>
      <c r="K4444">
        <f t="shared" si="69"/>
        <v>309.98122728274944</v>
      </c>
    </row>
    <row r="4445" spans="1:11" x14ac:dyDescent="0.2">
      <c r="A4445" t="s">
        <v>72</v>
      </c>
      <c r="B4445" t="s">
        <v>952</v>
      </c>
      <c r="C4445" t="s">
        <v>13774</v>
      </c>
      <c r="D4445" t="s">
        <v>13775</v>
      </c>
      <c r="E4445" t="s">
        <v>427</v>
      </c>
      <c r="F4445" t="s">
        <v>5</v>
      </c>
      <c r="G4445" t="s">
        <v>24</v>
      </c>
      <c r="H4445">
        <f>8324*(1.01^10)</f>
        <v>9194.8745719228682</v>
      </c>
      <c r="I4445">
        <f>36913*(1.01^10)</f>
        <v>40774.916515303797</v>
      </c>
      <c r="J4445" t="s">
        <v>13776</v>
      </c>
      <c r="K4445">
        <f t="shared" si="69"/>
        <v>141.6107230294129</v>
      </c>
    </row>
    <row r="4446" spans="1:11" x14ac:dyDescent="0.2">
      <c r="A4446" t="s">
        <v>72</v>
      </c>
      <c r="B4446" t="s">
        <v>952</v>
      </c>
      <c r="C4446" t="s">
        <v>13777</v>
      </c>
      <c r="D4446" t="s">
        <v>13778</v>
      </c>
      <c r="E4446" t="s">
        <v>56</v>
      </c>
      <c r="F4446" t="s">
        <v>17</v>
      </c>
      <c r="G4446" t="s">
        <v>12</v>
      </c>
      <c r="H4446">
        <f>10424*(1.01^10)</f>
        <v>11514.581035286399</v>
      </c>
      <c r="I4446">
        <f>46253*(1.01^10)</f>
        <v>51092.087166644451</v>
      </c>
      <c r="J4446" t="s">
        <v>13779</v>
      </c>
      <c r="K4446">
        <f t="shared" si="69"/>
        <v>324.21907153111368</v>
      </c>
    </row>
    <row r="4447" spans="1:11" x14ac:dyDescent="0.2">
      <c r="A4447" t="s">
        <v>72</v>
      </c>
      <c r="B4447" t="s">
        <v>952</v>
      </c>
      <c r="C4447" t="s">
        <v>13780</v>
      </c>
      <c r="D4447" t="s">
        <v>13781</v>
      </c>
      <c r="E4447" t="s">
        <v>796</v>
      </c>
      <c r="F4447" t="s">
        <v>24</v>
      </c>
      <c r="G4447" t="s">
        <v>24</v>
      </c>
      <c r="H4447">
        <f>8130*(1.01^10)</f>
        <v>8980.5778795930946</v>
      </c>
      <c r="I4447">
        <f>34601*(1.01^10)</f>
        <v>38221.030161353097</v>
      </c>
      <c r="J4447" t="s">
        <v>13782</v>
      </c>
      <c r="K4447">
        <f t="shared" si="69"/>
        <v>312.02275370540553</v>
      </c>
    </row>
    <row r="4448" spans="1:11" x14ac:dyDescent="0.2">
      <c r="A4448" t="s">
        <v>72</v>
      </c>
      <c r="B4448" t="s">
        <v>952</v>
      </c>
      <c r="C4448" t="s">
        <v>13783</v>
      </c>
      <c r="D4448" t="s">
        <v>13784</v>
      </c>
      <c r="E4448" t="s">
        <v>61</v>
      </c>
      <c r="F4448" t="s">
        <v>24</v>
      </c>
      <c r="G4448" t="s">
        <v>24</v>
      </c>
      <c r="H4448">
        <f>10641*(1.01^10)</f>
        <v>11754.28403650063</v>
      </c>
      <c r="I4448">
        <f>48122*(1.01^10)</f>
        <v>53156.625919037993</v>
      </c>
      <c r="J4448" t="s">
        <v>13785</v>
      </c>
      <c r="K4448">
        <f t="shared" si="69"/>
        <v>205.34334048083599</v>
      </c>
    </row>
    <row r="4449" spans="1:11" x14ac:dyDescent="0.2">
      <c r="A4449" t="s">
        <v>72</v>
      </c>
      <c r="B4449" t="s">
        <v>952</v>
      </c>
      <c r="C4449" t="s">
        <v>13786</v>
      </c>
      <c r="D4449" t="s">
        <v>13787</v>
      </c>
      <c r="E4449" t="s">
        <v>796</v>
      </c>
      <c r="F4449" t="s">
        <v>17</v>
      </c>
      <c r="G4449" t="s">
        <v>24</v>
      </c>
      <c r="H4449">
        <f>11793*(1.01^10)</f>
        <v>13026.808724974338</v>
      </c>
      <c r="I4449">
        <f>48585*(1.01^10)</f>
        <v>53668.065963103385</v>
      </c>
      <c r="J4449" t="s">
        <v>13788</v>
      </c>
      <c r="K4449">
        <f t="shared" si="69"/>
        <v>204.60309220605114</v>
      </c>
    </row>
    <row r="4450" spans="1:11" x14ac:dyDescent="0.2">
      <c r="A4450" t="s">
        <v>72</v>
      </c>
      <c r="B4450" t="s">
        <v>952</v>
      </c>
      <c r="C4450" t="s">
        <v>13789</v>
      </c>
      <c r="D4450" t="s">
        <v>13790</v>
      </c>
      <c r="E4450" t="s">
        <v>1340</v>
      </c>
      <c r="F4450" t="s">
        <v>24</v>
      </c>
      <c r="G4450" t="s">
        <v>12</v>
      </c>
      <c r="H4450">
        <f>29050*(1.01^10)</f>
        <v>32089.272743195499</v>
      </c>
      <c r="I4450">
        <f>126445*(1.01^10)</f>
        <v>139673.94464761979</v>
      </c>
      <c r="J4450" t="s">
        <v>13791</v>
      </c>
      <c r="K4450">
        <f t="shared" si="69"/>
        <v>1214.1631966780624</v>
      </c>
    </row>
    <row r="4451" spans="1:11" x14ac:dyDescent="0.2">
      <c r="A4451" t="s">
        <v>72</v>
      </c>
      <c r="B4451" t="s">
        <v>952</v>
      </c>
      <c r="C4451" t="s">
        <v>13792</v>
      </c>
      <c r="D4451" t="s">
        <v>13793</v>
      </c>
      <c r="E4451" t="s">
        <v>356</v>
      </c>
      <c r="F4451" t="s">
        <v>24</v>
      </c>
      <c r="G4451" t="s">
        <v>24</v>
      </c>
      <c r="H4451">
        <f>14732*(1.01^10)</f>
        <v>16273.293151557868</v>
      </c>
      <c r="I4451">
        <f>59656*(1.01^10)</f>
        <v>65897.337513530831</v>
      </c>
      <c r="J4451" t="s">
        <v>13794</v>
      </c>
      <c r="K4451">
        <f t="shared" si="69"/>
        <v>321.7158773719612</v>
      </c>
    </row>
    <row r="4452" spans="1:11" x14ac:dyDescent="0.2">
      <c r="A4452" t="s">
        <v>72</v>
      </c>
      <c r="B4452" t="s">
        <v>952</v>
      </c>
      <c r="C4452" t="s">
        <v>13795</v>
      </c>
      <c r="D4452" t="s">
        <v>13796</v>
      </c>
      <c r="E4452" t="s">
        <v>422</v>
      </c>
      <c r="F4452" t="s">
        <v>12</v>
      </c>
      <c r="G4452" t="s">
        <v>24</v>
      </c>
      <c r="H4452">
        <f>14089*(1.01^10)</f>
        <v>15563.021124918463</v>
      </c>
      <c r="I4452">
        <f>56939*(1.01^10)</f>
        <v>62896.07919878859</v>
      </c>
      <c r="J4452" t="s">
        <v>13797</v>
      </c>
      <c r="K4452">
        <f t="shared" si="69"/>
        <v>437.60712915033395</v>
      </c>
    </row>
    <row r="4453" spans="1:11" x14ac:dyDescent="0.2">
      <c r="A4453" t="s">
        <v>72</v>
      </c>
      <c r="B4453" t="s">
        <v>3476</v>
      </c>
      <c r="C4453" t="s">
        <v>13798</v>
      </c>
      <c r="D4453" t="s">
        <v>13799</v>
      </c>
      <c r="E4453" t="s">
        <v>445</v>
      </c>
      <c r="F4453" t="s">
        <v>24</v>
      </c>
      <c r="G4453" t="s">
        <v>24</v>
      </c>
      <c r="H4453">
        <f>13782*(1.01^10)</f>
        <v>15223.902132417224</v>
      </c>
      <c r="I4453">
        <f>52759*(1.01^10)</f>
        <v>58278.758714569754</v>
      </c>
      <c r="J4453" t="s">
        <v>13800</v>
      </c>
      <c r="K4453">
        <f t="shared" si="69"/>
        <v>362.67396730720361</v>
      </c>
    </row>
    <row r="4454" spans="1:11" x14ac:dyDescent="0.2">
      <c r="A4454" t="s">
        <v>72</v>
      </c>
      <c r="B4454" t="s">
        <v>3476</v>
      </c>
      <c r="C4454" t="s">
        <v>13801</v>
      </c>
      <c r="D4454" t="s">
        <v>13802</v>
      </c>
      <c r="E4454" t="s">
        <v>356</v>
      </c>
      <c r="F4454" t="s">
        <v>11</v>
      </c>
      <c r="G4454" t="s">
        <v>24</v>
      </c>
      <c r="H4454">
        <f>14219*(1.01^10)</f>
        <v>15706.62200122192</v>
      </c>
      <c r="I4454">
        <f>53870*(1.01^10)</f>
        <v>59505.9938959016</v>
      </c>
      <c r="J4454" t="s">
        <v>13803</v>
      </c>
      <c r="K4454">
        <f t="shared" si="69"/>
        <v>246.09076483039595</v>
      </c>
    </row>
    <row r="4455" spans="1:11" x14ac:dyDescent="0.2">
      <c r="A4455" t="s">
        <v>72</v>
      </c>
      <c r="B4455" t="s">
        <v>3476</v>
      </c>
      <c r="C4455" t="s">
        <v>13804</v>
      </c>
      <c r="D4455" t="s">
        <v>13805</v>
      </c>
      <c r="E4455" t="s">
        <v>422</v>
      </c>
      <c r="F4455" t="s">
        <v>24</v>
      </c>
      <c r="G4455" t="s">
        <v>24</v>
      </c>
      <c r="H4455">
        <f>16807*(1.01^10)</f>
        <v>18565.384061786117</v>
      </c>
      <c r="I4455">
        <f>63907*(1.01^10)</f>
        <v>70593.086168653856</v>
      </c>
      <c r="J4455" t="s">
        <v>13806</v>
      </c>
      <c r="K4455">
        <f t="shared" si="69"/>
        <v>287.24423815022612</v>
      </c>
    </row>
    <row r="4456" spans="1:11" x14ac:dyDescent="0.2">
      <c r="A4456" t="s">
        <v>72</v>
      </c>
      <c r="B4456" t="s">
        <v>3476</v>
      </c>
      <c r="C4456" t="s">
        <v>13807</v>
      </c>
      <c r="D4456" t="s">
        <v>13630</v>
      </c>
      <c r="E4456" t="s">
        <v>77</v>
      </c>
      <c r="F4456" t="s">
        <v>24</v>
      </c>
      <c r="G4456" t="s">
        <v>24</v>
      </c>
      <c r="H4456">
        <f>11955*(1.01^10)</f>
        <v>13205.757509290952</v>
      </c>
      <c r="I4456">
        <f>45006*(1.01^10)</f>
        <v>49714.623376256684</v>
      </c>
      <c r="J4456" t="s">
        <v>13808</v>
      </c>
      <c r="K4456">
        <f t="shared" si="69"/>
        <v>194.30962462514717</v>
      </c>
    </row>
    <row r="4457" spans="1:11" x14ac:dyDescent="0.2">
      <c r="A4457" t="s">
        <v>72</v>
      </c>
      <c r="B4457" t="s">
        <v>3476</v>
      </c>
      <c r="C4457" t="s">
        <v>13809</v>
      </c>
      <c r="D4457" t="s">
        <v>13810</v>
      </c>
      <c r="E4457" t="s">
        <v>61</v>
      </c>
      <c r="F4457" t="s">
        <v>24</v>
      </c>
      <c r="G4457" t="s">
        <v>24</v>
      </c>
      <c r="H4457">
        <f>20667*(1.01^10)</f>
        <v>22829.225465873369</v>
      </c>
      <c r="I4457">
        <f>78365*(1.01^10)</f>
        <v>86563.712857849066</v>
      </c>
      <c r="J4457" t="s">
        <v>13811</v>
      </c>
      <c r="K4457">
        <f t="shared" si="69"/>
        <v>313.28931904754609</v>
      </c>
    </row>
    <row r="4458" spans="1:11" x14ac:dyDescent="0.2">
      <c r="A4458" t="s">
        <v>72</v>
      </c>
      <c r="B4458" t="s">
        <v>3476</v>
      </c>
      <c r="C4458" t="s">
        <v>13812</v>
      </c>
      <c r="D4458" t="s">
        <v>13813</v>
      </c>
      <c r="E4458" t="s">
        <v>726</v>
      </c>
      <c r="F4458" t="s">
        <v>24</v>
      </c>
      <c r="G4458" t="s">
        <v>24</v>
      </c>
      <c r="H4458">
        <f>14379*(1.01^10)</f>
        <v>15883.361541287713</v>
      </c>
      <c r="I4458">
        <f>51719*(1.01^10)</f>
        <v>57129.951704142099</v>
      </c>
      <c r="J4458" t="s">
        <v>13814</v>
      </c>
      <c r="K4458">
        <f t="shared" si="69"/>
        <v>292.94750969078081</v>
      </c>
    </row>
    <row r="4459" spans="1:11" x14ac:dyDescent="0.2">
      <c r="A4459" t="s">
        <v>72</v>
      </c>
      <c r="B4459" t="s">
        <v>3476</v>
      </c>
      <c r="C4459" t="s">
        <v>13815</v>
      </c>
      <c r="D4459" t="s">
        <v>13816</v>
      </c>
      <c r="E4459" t="s">
        <v>411</v>
      </c>
      <c r="F4459" t="s">
        <v>12</v>
      </c>
      <c r="G4459" t="s">
        <v>17</v>
      </c>
      <c r="H4459">
        <f>69886*(1.01^10)</f>
        <v>77197.621856487458</v>
      </c>
      <c r="I4459">
        <f>277041*(1.01^10)</f>
        <v>306025.61824604555</v>
      </c>
      <c r="J4459" t="s">
        <v>13817</v>
      </c>
      <c r="K4459">
        <f t="shared" si="69"/>
        <v>927.94776327271882</v>
      </c>
    </row>
    <row r="4460" spans="1:11" x14ac:dyDescent="0.2">
      <c r="A4460" t="s">
        <v>72</v>
      </c>
      <c r="B4460" t="s">
        <v>3476</v>
      </c>
      <c r="C4460" t="s">
        <v>13818</v>
      </c>
      <c r="D4460" t="s">
        <v>13819</v>
      </c>
      <c r="E4460" t="s">
        <v>356</v>
      </c>
      <c r="F4460" t="s">
        <v>17</v>
      </c>
      <c r="G4460" t="s">
        <v>17</v>
      </c>
      <c r="H4460">
        <f>19571*(1.01^10)</f>
        <v>21618.559616422688</v>
      </c>
      <c r="I4460">
        <f>75072*(1.01^10)</f>
        <v>82926.192198869961</v>
      </c>
      <c r="J4460" t="s">
        <v>13820</v>
      </c>
      <c r="K4460">
        <f t="shared" si="69"/>
        <v>358.90528088617299</v>
      </c>
    </row>
    <row r="4461" spans="1:11" x14ac:dyDescent="0.2">
      <c r="A4461" t="s">
        <v>72</v>
      </c>
      <c r="B4461" t="s">
        <v>3476</v>
      </c>
      <c r="C4461" t="s">
        <v>13821</v>
      </c>
      <c r="D4461" t="s">
        <v>13822</v>
      </c>
      <c r="E4461" t="s">
        <v>374</v>
      </c>
      <c r="F4461" t="s">
        <v>5</v>
      </c>
      <c r="G4461" t="s">
        <v>24</v>
      </c>
      <c r="H4461">
        <f>14991*(1.01^10)</f>
        <v>16559.390282039371</v>
      </c>
      <c r="I4461">
        <f>54669*(1.01^10)</f>
        <v>60388.58697410515</v>
      </c>
      <c r="J4461" t="s">
        <v>13823</v>
      </c>
      <c r="K4461">
        <f t="shared" si="69"/>
        <v>202.13257480418264</v>
      </c>
    </row>
    <row r="4462" spans="1:11" x14ac:dyDescent="0.2">
      <c r="A4462" t="s">
        <v>72</v>
      </c>
      <c r="B4462" t="s">
        <v>3476</v>
      </c>
      <c r="C4462" t="s">
        <v>13824</v>
      </c>
      <c r="D4462" t="s">
        <v>13825</v>
      </c>
      <c r="E4462" t="s">
        <v>56</v>
      </c>
      <c r="F4462" t="s">
        <v>11</v>
      </c>
      <c r="G4462" t="s">
        <v>24</v>
      </c>
      <c r="H4462">
        <f>10048*(1.01^10)</f>
        <v>11099.243116131785</v>
      </c>
      <c r="I4462">
        <f>37336*(1.01^10)</f>
        <v>41242.171674352743</v>
      </c>
      <c r="J4462" t="s">
        <v>13826</v>
      </c>
      <c r="K4462">
        <f t="shared" si="69"/>
        <v>156.80208603268696</v>
      </c>
    </row>
    <row r="4463" spans="1:11" x14ac:dyDescent="0.2">
      <c r="A4463" t="s">
        <v>72</v>
      </c>
      <c r="B4463" t="s">
        <v>3476</v>
      </c>
      <c r="C4463" t="s">
        <v>13827</v>
      </c>
      <c r="D4463" t="s">
        <v>13828</v>
      </c>
      <c r="E4463" t="s">
        <v>47</v>
      </c>
      <c r="F4463" t="s">
        <v>382</v>
      </c>
      <c r="G4463" t="s">
        <v>24</v>
      </c>
      <c r="H4463">
        <f>9985*(1.01^10)</f>
        <v>11029.65192223088</v>
      </c>
      <c r="I4463">
        <f>38489*(1.01^10)</f>
        <v>42515.800984951857</v>
      </c>
      <c r="J4463" t="s">
        <v>13829</v>
      </c>
      <c r="K4463">
        <f t="shared" si="69"/>
        <v>73.355659479169816</v>
      </c>
    </row>
    <row r="4464" spans="1:11" x14ac:dyDescent="0.2">
      <c r="A4464" t="s">
        <v>72</v>
      </c>
      <c r="B4464" t="s">
        <v>3476</v>
      </c>
      <c r="C4464" t="s">
        <v>13830</v>
      </c>
      <c r="D4464" t="s">
        <v>13831</v>
      </c>
      <c r="E4464" t="s">
        <v>1340</v>
      </c>
      <c r="F4464" t="s">
        <v>12</v>
      </c>
      <c r="G4464" t="s">
        <v>24</v>
      </c>
      <c r="H4464">
        <f>6719*(1.01^10)</f>
        <v>7421.9560606378845</v>
      </c>
      <c r="I4464">
        <f>26312*(1.01^10)</f>
        <v>29064.81736381962</v>
      </c>
      <c r="J4464" t="s">
        <v>13832</v>
      </c>
      <c r="K4464">
        <f t="shared" si="69"/>
        <v>50.065835304127965</v>
      </c>
    </row>
    <row r="4465" spans="1:11" x14ac:dyDescent="0.2">
      <c r="A4465" t="s">
        <v>72</v>
      </c>
      <c r="B4465" t="s">
        <v>3476</v>
      </c>
      <c r="C4465" t="s">
        <v>13833</v>
      </c>
      <c r="D4465" t="s">
        <v>13834</v>
      </c>
      <c r="E4465" t="s">
        <v>411</v>
      </c>
      <c r="F4465" t="s">
        <v>92</v>
      </c>
      <c r="G4465" t="s">
        <v>24</v>
      </c>
      <c r="H4465">
        <f>7212*(1.01^10)</f>
        <v>7966.534768465609</v>
      </c>
      <c r="I4465">
        <f>25343*(1.01^10)</f>
        <v>27994.438524296162</v>
      </c>
      <c r="J4465" t="s">
        <v>13835</v>
      </c>
      <c r="K4465">
        <f t="shared" si="69"/>
        <v>80.33777121435314</v>
      </c>
    </row>
    <row r="4466" spans="1:11" x14ac:dyDescent="0.2">
      <c r="A4466" t="s">
        <v>72</v>
      </c>
      <c r="B4466" t="s">
        <v>3476</v>
      </c>
      <c r="C4466" t="s">
        <v>13836</v>
      </c>
      <c r="D4466" t="s">
        <v>13837</v>
      </c>
      <c r="E4466" t="s">
        <v>445</v>
      </c>
      <c r="F4466" t="s">
        <v>24</v>
      </c>
      <c r="G4466" t="s">
        <v>24</v>
      </c>
      <c r="H4466">
        <f>8901*(1.01^10)</f>
        <v>9832.2415382851341</v>
      </c>
      <c r="I4466">
        <f>31567*(1.01^10)</f>
        <v>34869.606632855503</v>
      </c>
      <c r="J4466" t="s">
        <v>13838</v>
      </c>
      <c r="K4466">
        <f t="shared" si="69"/>
        <v>248.95585134731292</v>
      </c>
    </row>
    <row r="4467" spans="1:11" x14ac:dyDescent="0.2">
      <c r="A4467" t="s">
        <v>72</v>
      </c>
      <c r="B4467" t="s">
        <v>3476</v>
      </c>
      <c r="C4467" t="s">
        <v>13839</v>
      </c>
      <c r="D4467" t="s">
        <v>13840</v>
      </c>
      <c r="E4467" t="s">
        <v>411</v>
      </c>
      <c r="F4467" t="s">
        <v>24</v>
      </c>
      <c r="G4467" t="s">
        <v>24</v>
      </c>
      <c r="H4467">
        <f>12033*(1.01^10)</f>
        <v>13291.918035073028</v>
      </c>
      <c r="I4467">
        <f>41956*(1.01^10)</f>
        <v>46345.525893752507</v>
      </c>
      <c r="J4467" t="s">
        <v>13841</v>
      </c>
      <c r="K4467">
        <f t="shared" si="69"/>
        <v>223.05320589822554</v>
      </c>
    </row>
    <row r="4468" spans="1:11" x14ac:dyDescent="0.2">
      <c r="A4468" t="s">
        <v>72</v>
      </c>
      <c r="B4468" t="s">
        <v>3476</v>
      </c>
      <c r="C4468" t="s">
        <v>13842</v>
      </c>
      <c r="D4468" t="s">
        <v>13843</v>
      </c>
      <c r="E4468" t="s">
        <v>1340</v>
      </c>
      <c r="F4468" t="s">
        <v>12</v>
      </c>
      <c r="G4468" t="s">
        <v>12</v>
      </c>
      <c r="H4468">
        <f>26883*(1.01^10)</f>
        <v>29695.556597429419</v>
      </c>
      <c r="I4468">
        <f>101776*(1.01^10)</f>
        <v>112424.02143585078</v>
      </c>
      <c r="J4468" t="s">
        <v>13844</v>
      </c>
      <c r="K4468">
        <f t="shared" si="69"/>
        <v>458.91646751239472</v>
      </c>
    </row>
    <row r="4469" spans="1:11" x14ac:dyDescent="0.2">
      <c r="A4469" t="s">
        <v>72</v>
      </c>
      <c r="B4469" t="s">
        <v>3476</v>
      </c>
      <c r="C4469" t="s">
        <v>13845</v>
      </c>
      <c r="D4469" t="s">
        <v>13846</v>
      </c>
      <c r="E4469" t="s">
        <v>158</v>
      </c>
      <c r="F4469" t="s">
        <v>24</v>
      </c>
      <c r="G4469" t="s">
        <v>24</v>
      </c>
      <c r="H4469">
        <f>7401*(1.01^10)</f>
        <v>8175.3083501683259</v>
      </c>
      <c r="I4469">
        <f>27661*(1.01^10)</f>
        <v>30554.952610999335</v>
      </c>
      <c r="J4469" t="s">
        <v>13847</v>
      </c>
      <c r="K4469">
        <f t="shared" si="69"/>
        <v>376.02680943823464</v>
      </c>
    </row>
    <row r="4470" spans="1:11" x14ac:dyDescent="0.2">
      <c r="A4470" t="s">
        <v>72</v>
      </c>
      <c r="B4470" t="s">
        <v>3476</v>
      </c>
      <c r="C4470" t="s">
        <v>13848</v>
      </c>
      <c r="D4470" t="s">
        <v>13849</v>
      </c>
      <c r="E4470" t="s">
        <v>744</v>
      </c>
      <c r="F4470" t="s">
        <v>24</v>
      </c>
      <c r="G4470" t="s">
        <v>24</v>
      </c>
      <c r="H4470">
        <f>6074*(1.01^10)</f>
        <v>6709.4747897476573</v>
      </c>
      <c r="I4470">
        <f>22342*(1.01^10)</f>
        <v>24679.467525937136</v>
      </c>
      <c r="J4470" t="s">
        <v>13850</v>
      </c>
      <c r="K4470">
        <f t="shared" si="69"/>
        <v>279.0345289000951</v>
      </c>
    </row>
    <row r="4471" spans="1:11" x14ac:dyDescent="0.2">
      <c r="A4471" t="s">
        <v>72</v>
      </c>
      <c r="B4471" t="s">
        <v>3476</v>
      </c>
      <c r="C4471" t="s">
        <v>13851</v>
      </c>
      <c r="D4471" t="s">
        <v>13852</v>
      </c>
      <c r="E4471" t="s">
        <v>411</v>
      </c>
      <c r="F4471" t="s">
        <v>24</v>
      </c>
      <c r="G4471" t="s">
        <v>24</v>
      </c>
      <c r="H4471">
        <f>14502*(1.01^10)</f>
        <v>16019.230062713292</v>
      </c>
      <c r="I4471">
        <f>54087*(1.01^10)</f>
        <v>59745.696897115828</v>
      </c>
      <c r="J4471" t="s">
        <v>13853</v>
      </c>
      <c r="K4471">
        <f t="shared" si="69"/>
        <v>285.85985804782791</v>
      </c>
    </row>
    <row r="4472" spans="1:11" x14ac:dyDescent="0.2">
      <c r="A4472" t="s">
        <v>72</v>
      </c>
      <c r="B4472" t="s">
        <v>3476</v>
      </c>
      <c r="C4472" t="s">
        <v>13854</v>
      </c>
      <c r="D4472" t="s">
        <v>13855</v>
      </c>
      <c r="E4472" t="s">
        <v>796</v>
      </c>
      <c r="F4472" t="s">
        <v>24</v>
      </c>
      <c r="G4472" t="s">
        <v>24</v>
      </c>
      <c r="H4472">
        <f>11651*(1.01^10)</f>
        <v>12869.952383165946</v>
      </c>
      <c r="I4472">
        <f>44951*(1.01^10)</f>
        <v>49653.869159359063</v>
      </c>
      <c r="J4472" t="s">
        <v>13856</v>
      </c>
      <c r="K4472">
        <f t="shared" si="69"/>
        <v>340.85081926092556</v>
      </c>
    </row>
    <row r="4473" spans="1:11" x14ac:dyDescent="0.2">
      <c r="A4473" t="s">
        <v>72</v>
      </c>
      <c r="B4473" t="s">
        <v>3476</v>
      </c>
      <c r="C4473" t="s">
        <v>13857</v>
      </c>
      <c r="D4473" t="s">
        <v>13858</v>
      </c>
      <c r="E4473" t="s">
        <v>274</v>
      </c>
      <c r="F4473" t="s">
        <v>24</v>
      </c>
      <c r="G4473" t="s">
        <v>24</v>
      </c>
      <c r="H4473">
        <f>12336*(1.01^10)</f>
        <v>13626.618539072622</v>
      </c>
      <c r="I4473">
        <f>47373*(1.01^10)</f>
        <v>52329.263947105006</v>
      </c>
      <c r="J4473" t="s">
        <v>13859</v>
      </c>
      <c r="K4473">
        <f t="shared" si="69"/>
        <v>330.45737920881766</v>
      </c>
    </row>
    <row r="4474" spans="1:11" x14ac:dyDescent="0.2">
      <c r="A4474" t="s">
        <v>72</v>
      </c>
      <c r="B4474" t="s">
        <v>3476</v>
      </c>
      <c r="C4474" t="s">
        <v>13860</v>
      </c>
      <c r="D4474" t="s">
        <v>13861</v>
      </c>
      <c r="E4474" t="s">
        <v>726</v>
      </c>
      <c r="F4474" t="s">
        <v>24</v>
      </c>
      <c r="G4474" t="s">
        <v>12</v>
      </c>
      <c r="H4474">
        <f>41715*(1.01^10)</f>
        <v>46079.311961528409</v>
      </c>
      <c r="I4474">
        <f>169064*(1.01^10)</f>
        <v>186751.83501051992</v>
      </c>
      <c r="J4474" t="s">
        <v>13862</v>
      </c>
      <c r="K4474">
        <f t="shared" si="69"/>
        <v>887.36937105595007</v>
      </c>
    </row>
    <row r="4475" spans="1:11" x14ac:dyDescent="0.2">
      <c r="A4475" t="s">
        <v>72</v>
      </c>
      <c r="B4475" t="s">
        <v>3476</v>
      </c>
      <c r="C4475" t="s">
        <v>13863</v>
      </c>
      <c r="D4475" t="s">
        <v>13864</v>
      </c>
      <c r="E4475" t="s">
        <v>356</v>
      </c>
      <c r="F4475" t="s">
        <v>24</v>
      </c>
      <c r="G4475" t="s">
        <v>24</v>
      </c>
      <c r="H4475">
        <f>13283*(1.01^10)</f>
        <v>14672.695691837032</v>
      </c>
      <c r="I4475">
        <f>51209*(1.01^10)</f>
        <v>56566.59442018238</v>
      </c>
      <c r="J4475" t="s">
        <v>13865</v>
      </c>
      <c r="K4475">
        <f t="shared" si="69"/>
        <v>289.44733795148574</v>
      </c>
    </row>
    <row r="4476" spans="1:11" x14ac:dyDescent="0.2">
      <c r="A4476" t="s">
        <v>72</v>
      </c>
      <c r="B4476" t="s">
        <v>3476</v>
      </c>
      <c r="C4476" t="s">
        <v>13866</v>
      </c>
      <c r="D4476" t="s">
        <v>13867</v>
      </c>
      <c r="E4476" t="s">
        <v>318</v>
      </c>
      <c r="F4476" t="s">
        <v>24</v>
      </c>
      <c r="G4476" t="s">
        <v>12</v>
      </c>
      <c r="H4476">
        <f>26408*(1.01^10)</f>
        <v>29170.861087859095</v>
      </c>
      <c r="I4476">
        <f>108346*(1.01^10)</f>
        <v>119681.38879980239</v>
      </c>
      <c r="J4476" t="s">
        <v>13868</v>
      </c>
      <c r="K4476">
        <f t="shared" si="69"/>
        <v>902.66647660057686</v>
      </c>
    </row>
    <row r="4477" spans="1:11" x14ac:dyDescent="0.2">
      <c r="A4477" t="s">
        <v>72</v>
      </c>
      <c r="B4477" t="s">
        <v>3476</v>
      </c>
      <c r="C4477" t="s">
        <v>13869</v>
      </c>
      <c r="D4477" t="s">
        <v>13870</v>
      </c>
      <c r="E4477" t="s">
        <v>458</v>
      </c>
      <c r="F4477" t="s">
        <v>24</v>
      </c>
      <c r="G4477" t="s">
        <v>12</v>
      </c>
      <c r="H4477">
        <f>21367*(1.01^10)</f>
        <v>23602.460953661212</v>
      </c>
      <c r="I4477">
        <f>86692*(1.01^10)</f>
        <v>95761.901296148164</v>
      </c>
      <c r="J4477" t="s">
        <v>13871</v>
      </c>
      <c r="K4477">
        <f t="shared" si="69"/>
        <v>640.82514753992086</v>
      </c>
    </row>
    <row r="4478" spans="1:11" x14ac:dyDescent="0.2">
      <c r="A4478" t="s">
        <v>72</v>
      </c>
      <c r="B4478" t="s">
        <v>3476</v>
      </c>
      <c r="C4478" t="s">
        <v>13872</v>
      </c>
      <c r="D4478" t="s">
        <v>13873</v>
      </c>
      <c r="E4478" t="s">
        <v>445</v>
      </c>
      <c r="F4478" t="s">
        <v>12</v>
      </c>
      <c r="G4478" t="s">
        <v>24</v>
      </c>
      <c r="H4478">
        <f>11660*(1.01^10)</f>
        <v>12879.893982294647</v>
      </c>
      <c r="I4478">
        <f>43986*(1.01^10)</f>
        <v>48587.908808337255</v>
      </c>
      <c r="J4478" t="s">
        <v>13874</v>
      </c>
      <c r="K4478">
        <f t="shared" si="69"/>
        <v>261.23096829944899</v>
      </c>
    </row>
    <row r="4479" spans="1:11" x14ac:dyDescent="0.2">
      <c r="A4479" t="s">
        <v>72</v>
      </c>
      <c r="B4479" t="s">
        <v>3476</v>
      </c>
      <c r="C4479" t="s">
        <v>13875</v>
      </c>
      <c r="D4479" t="s">
        <v>13876</v>
      </c>
      <c r="E4479" t="s">
        <v>382</v>
      </c>
      <c r="F4479" t="s">
        <v>24</v>
      </c>
      <c r="G4479" t="s">
        <v>24</v>
      </c>
      <c r="H4479">
        <f>10961*(1.01^10)</f>
        <v>12107.763116632215</v>
      </c>
      <c r="I4479">
        <f>43596*(1.01^10)</f>
        <v>48157.106179426883</v>
      </c>
      <c r="J4479" t="s">
        <v>13877</v>
      </c>
      <c r="K4479">
        <f t="shared" si="69"/>
        <v>245.4722471962794</v>
      </c>
    </row>
    <row r="4480" spans="1:11" x14ac:dyDescent="0.2">
      <c r="A4480" t="s">
        <v>72</v>
      </c>
      <c r="B4480" t="s">
        <v>3476</v>
      </c>
      <c r="C4480" t="s">
        <v>13878</v>
      </c>
      <c r="D4480" t="s">
        <v>13879</v>
      </c>
      <c r="E4480" t="s">
        <v>274</v>
      </c>
      <c r="F4480" t="s">
        <v>24</v>
      </c>
      <c r="G4480" t="s">
        <v>24</v>
      </c>
      <c r="H4480">
        <f>11637*(1.01^10)</f>
        <v>12854.487673410189</v>
      </c>
      <c r="I4480">
        <f>43685*(1.01^10)</f>
        <v>48255.417548588477</v>
      </c>
      <c r="J4480" t="s">
        <v>13880</v>
      </c>
      <c r="K4480">
        <f t="shared" si="69"/>
        <v>295.8420735064098</v>
      </c>
    </row>
    <row r="4481" spans="1:11" x14ac:dyDescent="0.2">
      <c r="A4481" t="s">
        <v>72</v>
      </c>
      <c r="B4481" t="s">
        <v>3476</v>
      </c>
      <c r="C4481" t="s">
        <v>13881</v>
      </c>
      <c r="D4481" t="s">
        <v>13882</v>
      </c>
      <c r="E4481" t="s">
        <v>44</v>
      </c>
      <c r="F4481" t="s">
        <v>24</v>
      </c>
      <c r="G4481" t="s">
        <v>24</v>
      </c>
      <c r="H4481">
        <f>12742*(1.01^10)</f>
        <v>14075.095121989571</v>
      </c>
      <c r="I4481">
        <f>47981*(1.01^10)</f>
        <v>53000.874199355014</v>
      </c>
      <c r="J4481" t="s">
        <v>13883</v>
      </c>
      <c r="K4481">
        <f t="shared" si="69"/>
        <v>388.48986658839056</v>
      </c>
    </row>
    <row r="4482" spans="1:11" x14ac:dyDescent="0.2">
      <c r="A4482" t="s">
        <v>72</v>
      </c>
      <c r="B4482" t="s">
        <v>3476</v>
      </c>
      <c r="C4482" t="s">
        <v>13884</v>
      </c>
      <c r="D4482" t="s">
        <v>13885</v>
      </c>
      <c r="E4482" t="s">
        <v>356</v>
      </c>
      <c r="F4482" t="s">
        <v>24</v>
      </c>
      <c r="G4482" t="s">
        <v>24</v>
      </c>
      <c r="H4482">
        <f>12597*(1.01^10)</f>
        <v>13914.924913804945</v>
      </c>
      <c r="I4482">
        <f>49251*(1.01^10)</f>
        <v>54403.744298627244</v>
      </c>
      <c r="J4482" t="s">
        <v>13886</v>
      </c>
      <c r="K4482">
        <f t="shared" si="69"/>
        <v>338.79825366923546</v>
      </c>
    </row>
    <row r="4483" spans="1:11" x14ac:dyDescent="0.2">
      <c r="A4483" t="s">
        <v>72</v>
      </c>
      <c r="B4483" t="s">
        <v>3476</v>
      </c>
      <c r="C4483" t="s">
        <v>13887</v>
      </c>
      <c r="D4483" t="s">
        <v>13888</v>
      </c>
      <c r="E4483" t="s">
        <v>445</v>
      </c>
      <c r="F4483" t="s">
        <v>12</v>
      </c>
      <c r="G4483" t="s">
        <v>24</v>
      </c>
      <c r="H4483">
        <f>12340*(1.01^10)</f>
        <v>13631.037027574266</v>
      </c>
      <c r="I4483">
        <f>48253*(1.01^10)</f>
        <v>53301.331417466863</v>
      </c>
      <c r="J4483" t="s">
        <v>13889</v>
      </c>
      <c r="K4483">
        <f t="shared" ref="K4483:K4546" si="70">I4483/J4483</f>
        <v>394.29371633269545</v>
      </c>
    </row>
    <row r="4484" spans="1:11" x14ac:dyDescent="0.2">
      <c r="A4484" t="s">
        <v>72</v>
      </c>
      <c r="B4484" t="s">
        <v>3476</v>
      </c>
      <c r="C4484" t="s">
        <v>13890</v>
      </c>
      <c r="D4484" t="s">
        <v>13891</v>
      </c>
      <c r="E4484" t="s">
        <v>382</v>
      </c>
      <c r="F4484" t="s">
        <v>24</v>
      </c>
      <c r="G4484" t="s">
        <v>24</v>
      </c>
      <c r="H4484">
        <f>13037*(1.01^10)</f>
        <v>14400.958648985876</v>
      </c>
      <c r="I4484">
        <f>51288*(1.01^10)</f>
        <v>56653.859568089872</v>
      </c>
      <c r="J4484" t="s">
        <v>13892</v>
      </c>
      <c r="K4484">
        <f t="shared" si="70"/>
        <v>409.30253219214205</v>
      </c>
    </row>
    <row r="4485" spans="1:11" x14ac:dyDescent="0.2">
      <c r="A4485" t="s">
        <v>72</v>
      </c>
      <c r="B4485" t="s">
        <v>3476</v>
      </c>
      <c r="C4485" t="s">
        <v>13893</v>
      </c>
      <c r="D4485" t="s">
        <v>13894</v>
      </c>
      <c r="E4485" t="s">
        <v>1340</v>
      </c>
      <c r="F4485" t="s">
        <v>24</v>
      </c>
      <c r="G4485" t="s">
        <v>24</v>
      </c>
      <c r="H4485">
        <f>16688*(1.01^10)</f>
        <v>18433.934028862186</v>
      </c>
      <c r="I4485">
        <f>63454*(1.01^10)</f>
        <v>70092.692345842588</v>
      </c>
      <c r="J4485" t="s">
        <v>13895</v>
      </c>
      <c r="K4485">
        <f t="shared" si="70"/>
        <v>427.80322947324782</v>
      </c>
    </row>
    <row r="4486" spans="1:11" x14ac:dyDescent="0.2">
      <c r="A4486" t="s">
        <v>72</v>
      </c>
      <c r="B4486" t="s">
        <v>3476</v>
      </c>
      <c r="C4486" t="s">
        <v>13896</v>
      </c>
      <c r="D4486" t="s">
        <v>13897</v>
      </c>
      <c r="E4486" t="s">
        <v>108</v>
      </c>
      <c r="F4486" t="s">
        <v>24</v>
      </c>
      <c r="G4486" t="s">
        <v>24</v>
      </c>
      <c r="H4486">
        <f>11758*(1.01^10)</f>
        <v>12988.146950584945</v>
      </c>
      <c r="I4486">
        <f>42211*(1.01^10)</f>
        <v>46627.204535732366</v>
      </c>
      <c r="J4486" t="s">
        <v>13898</v>
      </c>
      <c r="K4486">
        <f t="shared" si="70"/>
        <v>321.78032041686777</v>
      </c>
    </row>
    <row r="4487" spans="1:11" x14ac:dyDescent="0.2">
      <c r="A4487" t="s">
        <v>72</v>
      </c>
      <c r="B4487" t="s">
        <v>3476</v>
      </c>
      <c r="C4487" t="s">
        <v>13899</v>
      </c>
      <c r="D4487" t="s">
        <v>13900</v>
      </c>
      <c r="E4487" t="s">
        <v>445</v>
      </c>
      <c r="F4487" t="s">
        <v>24</v>
      </c>
      <c r="G4487" t="s">
        <v>24</v>
      </c>
      <c r="H4487">
        <f>18070*(1.01^10)</f>
        <v>19960.52180618047</v>
      </c>
      <c r="I4487">
        <f>67854*(1.01^10)</f>
        <v>74953.029697651888</v>
      </c>
      <c r="J4487" t="s">
        <v>13901</v>
      </c>
      <c r="K4487">
        <f t="shared" si="70"/>
        <v>390.29628717921145</v>
      </c>
    </row>
    <row r="4488" spans="1:11" x14ac:dyDescent="0.2">
      <c r="A4488" t="s">
        <v>72</v>
      </c>
      <c r="B4488" t="s">
        <v>3476</v>
      </c>
      <c r="C4488" t="s">
        <v>13902</v>
      </c>
      <c r="D4488" t="s">
        <v>13903</v>
      </c>
      <c r="E4488" t="s">
        <v>61</v>
      </c>
      <c r="F4488" t="s">
        <v>17</v>
      </c>
      <c r="G4488" t="s">
        <v>17</v>
      </c>
      <c r="H4488">
        <f>88104*(1.01^10)</f>
        <v>97321.627737228788</v>
      </c>
      <c r="I4488">
        <f>363106*(1.01^10)</f>
        <v>401094.92146956088</v>
      </c>
      <c r="J4488" t="s">
        <v>13904</v>
      </c>
      <c r="K4488">
        <f t="shared" si="70"/>
        <v>1662.8609227869033</v>
      </c>
    </row>
    <row r="4489" spans="1:11" x14ac:dyDescent="0.2">
      <c r="A4489" t="s">
        <v>72</v>
      </c>
      <c r="B4489" t="s">
        <v>3476</v>
      </c>
      <c r="C4489" t="s">
        <v>13905</v>
      </c>
      <c r="D4489" t="s">
        <v>13906</v>
      </c>
      <c r="E4489" t="s">
        <v>44</v>
      </c>
      <c r="F4489" t="s">
        <v>24</v>
      </c>
      <c r="G4489" t="s">
        <v>24</v>
      </c>
      <c r="H4489">
        <f>10235*(1.01^10)</f>
        <v>11305.80745358368</v>
      </c>
      <c r="I4489">
        <f>39240*(1.01^10)</f>
        <v>43345.372201135673</v>
      </c>
      <c r="J4489" t="s">
        <v>13907</v>
      </c>
      <c r="K4489">
        <f t="shared" si="70"/>
        <v>319.71945308374939</v>
      </c>
    </row>
    <row r="4490" spans="1:11" x14ac:dyDescent="0.2">
      <c r="A4490" t="s">
        <v>72</v>
      </c>
      <c r="B4490" t="s">
        <v>3476</v>
      </c>
      <c r="C4490" t="s">
        <v>13908</v>
      </c>
      <c r="D4490" t="s">
        <v>13909</v>
      </c>
      <c r="E4490" t="s">
        <v>796</v>
      </c>
      <c r="F4490" t="s">
        <v>24</v>
      </c>
      <c r="G4490" t="s">
        <v>12</v>
      </c>
      <c r="H4490">
        <f>20252*(1.01^10)</f>
        <v>22370.807283827718</v>
      </c>
      <c r="I4490">
        <f>80475*(1.01^10)</f>
        <v>88894.4655424667</v>
      </c>
      <c r="J4490" t="s">
        <v>13910</v>
      </c>
      <c r="K4490">
        <f t="shared" si="70"/>
        <v>464.5614964735596</v>
      </c>
    </row>
    <row r="4491" spans="1:11" x14ac:dyDescent="0.2">
      <c r="A4491" t="s">
        <v>72</v>
      </c>
      <c r="B4491" t="s">
        <v>3476</v>
      </c>
      <c r="C4491" t="s">
        <v>13911</v>
      </c>
      <c r="D4491" t="s">
        <v>13912</v>
      </c>
      <c r="E4491" t="s">
        <v>356</v>
      </c>
      <c r="F4491" t="s">
        <v>12</v>
      </c>
      <c r="G4491" t="s">
        <v>24</v>
      </c>
      <c r="H4491">
        <f>10871*(1.01^10)</f>
        <v>12008.347125345206</v>
      </c>
      <c r="I4491">
        <f>40857*(1.01^10)</f>
        <v>45131.546177925593</v>
      </c>
      <c r="J4491" t="s">
        <v>13913</v>
      </c>
      <c r="K4491">
        <f t="shared" si="70"/>
        <v>239.41337217150596</v>
      </c>
    </row>
    <row r="4492" spans="1:11" x14ac:dyDescent="0.2">
      <c r="A4492" t="s">
        <v>72</v>
      </c>
      <c r="B4492" t="s">
        <v>3476</v>
      </c>
      <c r="C4492" t="s">
        <v>13914</v>
      </c>
      <c r="D4492" t="s">
        <v>13915</v>
      </c>
      <c r="E4492" t="s">
        <v>796</v>
      </c>
      <c r="F4492" t="s">
        <v>12</v>
      </c>
      <c r="G4492" t="s">
        <v>24</v>
      </c>
      <c r="H4492">
        <f>14633*(1.01^10)</f>
        <v>16163.93556114216</v>
      </c>
      <c r="I4492">
        <f>59633*(1.01^10)</f>
        <v>65871.931204646375</v>
      </c>
      <c r="J4492" t="s">
        <v>13916</v>
      </c>
      <c r="K4492">
        <f t="shared" si="70"/>
        <v>221.54798818578607</v>
      </c>
    </row>
    <row r="4493" spans="1:11" x14ac:dyDescent="0.2">
      <c r="A4493" t="s">
        <v>72</v>
      </c>
      <c r="B4493" t="s">
        <v>3476</v>
      </c>
      <c r="C4493" t="s">
        <v>13917</v>
      </c>
      <c r="D4493" t="s">
        <v>13918</v>
      </c>
      <c r="E4493" t="s">
        <v>411</v>
      </c>
      <c r="F4493" t="s">
        <v>12</v>
      </c>
      <c r="G4493" t="s">
        <v>24</v>
      </c>
      <c r="H4493">
        <f>11602*(1.01^10)</f>
        <v>12815.825899020798</v>
      </c>
      <c r="I4493">
        <f>46878*(1.01^10)</f>
        <v>51782.475995026456</v>
      </c>
      <c r="J4493" t="s">
        <v>13919</v>
      </c>
      <c r="K4493">
        <f t="shared" si="70"/>
        <v>290.68741213296721</v>
      </c>
    </row>
    <row r="4494" spans="1:11" x14ac:dyDescent="0.2">
      <c r="A4494" t="s">
        <v>72</v>
      </c>
      <c r="B4494" t="s">
        <v>3476</v>
      </c>
      <c r="C4494" t="s">
        <v>13920</v>
      </c>
      <c r="D4494" t="s">
        <v>13921</v>
      </c>
      <c r="E4494" t="s">
        <v>274</v>
      </c>
      <c r="F4494" t="s">
        <v>12</v>
      </c>
      <c r="G4494" t="s">
        <v>24</v>
      </c>
      <c r="H4494">
        <f>10912*(1.01^10)</f>
        <v>12053.636632487067</v>
      </c>
      <c r="I4494">
        <f>44217*(1.01^10)</f>
        <v>48843.076519307244</v>
      </c>
      <c r="J4494" t="s">
        <v>13922</v>
      </c>
      <c r="K4494">
        <f t="shared" si="70"/>
        <v>296.57981271830812</v>
      </c>
    </row>
    <row r="4495" spans="1:11" x14ac:dyDescent="0.2">
      <c r="A4495" t="s">
        <v>72</v>
      </c>
      <c r="B4495" t="s">
        <v>3476</v>
      </c>
      <c r="C4495" t="s">
        <v>13923</v>
      </c>
      <c r="D4495" t="s">
        <v>13924</v>
      </c>
      <c r="E4495" t="s">
        <v>1340</v>
      </c>
      <c r="F4495" t="s">
        <v>24</v>
      </c>
      <c r="G4495" t="s">
        <v>12</v>
      </c>
      <c r="H4495">
        <f>35482*(1.01^10)</f>
        <v>39194.202253840369</v>
      </c>
      <c r="I4495">
        <f>142676*(1.01^10)</f>
        <v>157603.06636516904</v>
      </c>
      <c r="J4495" t="s">
        <v>13925</v>
      </c>
      <c r="K4495">
        <f t="shared" si="70"/>
        <v>693.70264969502387</v>
      </c>
    </row>
    <row r="4496" spans="1:11" x14ac:dyDescent="0.2">
      <c r="A4496" t="s">
        <v>72</v>
      </c>
      <c r="B4496" t="s">
        <v>3476</v>
      </c>
      <c r="C4496" t="s">
        <v>13926</v>
      </c>
      <c r="D4496" t="s">
        <v>13927</v>
      </c>
      <c r="E4496" t="s">
        <v>796</v>
      </c>
      <c r="F4496" t="s">
        <v>24</v>
      </c>
      <c r="G4496" t="s">
        <v>24</v>
      </c>
      <c r="H4496">
        <f>13437*(1.01^10)</f>
        <v>14842.807499150358</v>
      </c>
      <c r="I4496">
        <f>51278*(1.01^10)</f>
        <v>56642.813346835756</v>
      </c>
      <c r="J4496" t="s">
        <v>13928</v>
      </c>
      <c r="K4496">
        <f t="shared" si="70"/>
        <v>218.32142970009468</v>
      </c>
    </row>
    <row r="4497" spans="1:11" x14ac:dyDescent="0.2">
      <c r="A4497" t="s">
        <v>72</v>
      </c>
      <c r="B4497" t="s">
        <v>3476</v>
      </c>
      <c r="C4497" t="s">
        <v>13929</v>
      </c>
      <c r="D4497" t="s">
        <v>13930</v>
      </c>
      <c r="E4497" t="s">
        <v>61</v>
      </c>
      <c r="F4497" t="s">
        <v>17</v>
      </c>
      <c r="G4497" t="s">
        <v>24</v>
      </c>
      <c r="H4497">
        <f>13789*(1.01^10)</f>
        <v>15231.634487295103</v>
      </c>
      <c r="I4497">
        <f>53945*(1.01^10)</f>
        <v>59588.840555307441</v>
      </c>
      <c r="J4497" t="s">
        <v>13931</v>
      </c>
      <c r="K4497">
        <f t="shared" si="70"/>
        <v>243.62144778462383</v>
      </c>
    </row>
    <row r="4498" spans="1:11" x14ac:dyDescent="0.2">
      <c r="A4498" t="s">
        <v>72</v>
      </c>
      <c r="B4498" t="s">
        <v>3476</v>
      </c>
      <c r="C4498" t="s">
        <v>13932</v>
      </c>
      <c r="D4498" t="s">
        <v>13933</v>
      </c>
      <c r="E4498" t="s">
        <v>458</v>
      </c>
      <c r="F4498" t="s">
        <v>24</v>
      </c>
      <c r="G4498" t="s">
        <v>24</v>
      </c>
      <c r="H4498">
        <f>13176*(1.01^10)</f>
        <v>14554.501124418033</v>
      </c>
      <c r="I4498">
        <f>49026*(1.01^10)</f>
        <v>54155.204320409721</v>
      </c>
      <c r="J4498" t="s">
        <v>13934</v>
      </c>
      <c r="K4498">
        <f t="shared" si="70"/>
        <v>363.07459911032652</v>
      </c>
    </row>
    <row r="4499" spans="1:11" x14ac:dyDescent="0.2">
      <c r="A4499" t="s">
        <v>72</v>
      </c>
      <c r="B4499" t="s">
        <v>3476</v>
      </c>
      <c r="C4499" t="s">
        <v>13935</v>
      </c>
      <c r="D4499" t="s">
        <v>13936</v>
      </c>
      <c r="E4499" t="s">
        <v>318</v>
      </c>
      <c r="F4499" t="s">
        <v>24</v>
      </c>
      <c r="G4499" t="s">
        <v>24</v>
      </c>
      <c r="H4499">
        <f>13231*(1.01^10)</f>
        <v>14615.255341315649</v>
      </c>
      <c r="I4499">
        <f>49041*(1.01^10)</f>
        <v>54171.773652290889</v>
      </c>
      <c r="J4499" t="s">
        <v>13937</v>
      </c>
      <c r="K4499">
        <f t="shared" si="70"/>
        <v>374.72524630627981</v>
      </c>
    </row>
    <row r="4500" spans="1:11" x14ac:dyDescent="0.2">
      <c r="A4500" t="s">
        <v>72</v>
      </c>
      <c r="B4500" t="s">
        <v>3476</v>
      </c>
      <c r="C4500" t="s">
        <v>13938</v>
      </c>
      <c r="D4500" t="s">
        <v>13939</v>
      </c>
      <c r="E4500" t="s">
        <v>445</v>
      </c>
      <c r="F4500" t="s">
        <v>24</v>
      </c>
      <c r="G4500" t="s">
        <v>12</v>
      </c>
      <c r="H4500">
        <f>28239*(1.01^10)</f>
        <v>31193.42419948701</v>
      </c>
      <c r="I4500">
        <f>103429*(1.01^10)</f>
        <v>114249.9618091555</v>
      </c>
      <c r="J4500" t="s">
        <v>13940</v>
      </c>
      <c r="K4500">
        <f t="shared" si="70"/>
        <v>507.87633424517941</v>
      </c>
    </row>
    <row r="4501" spans="1:11" x14ac:dyDescent="0.2">
      <c r="A4501" t="s">
        <v>72</v>
      </c>
      <c r="B4501" t="s">
        <v>3476</v>
      </c>
      <c r="C4501" t="s">
        <v>13941</v>
      </c>
      <c r="D4501" t="s">
        <v>13942</v>
      </c>
      <c r="E4501" t="s">
        <v>411</v>
      </c>
      <c r="F4501" t="s">
        <v>24</v>
      </c>
      <c r="G4501" t="s">
        <v>24</v>
      </c>
      <c r="H4501">
        <f>11918*(1.01^10)</f>
        <v>13164.886490650739</v>
      </c>
      <c r="I4501">
        <f>45302*(1.01^10)</f>
        <v>50041.591525378397</v>
      </c>
      <c r="J4501" t="s">
        <v>13943</v>
      </c>
      <c r="K4501">
        <f t="shared" si="70"/>
        <v>376.16956290371536</v>
      </c>
    </row>
    <row r="4502" spans="1:11" x14ac:dyDescent="0.2">
      <c r="A4502" t="s">
        <v>72</v>
      </c>
      <c r="B4502" t="s">
        <v>3476</v>
      </c>
      <c r="C4502" t="s">
        <v>13944</v>
      </c>
      <c r="D4502" t="s">
        <v>13945</v>
      </c>
      <c r="E4502" t="s">
        <v>108</v>
      </c>
      <c r="F4502" t="s">
        <v>24</v>
      </c>
      <c r="G4502" t="s">
        <v>24</v>
      </c>
      <c r="H4502">
        <f>11409*(1.01^10)</f>
        <v>12602.633828816435</v>
      </c>
      <c r="I4502">
        <f>41859*(1.01^10)</f>
        <v>46238.377547587617</v>
      </c>
      <c r="J4502" t="s">
        <v>13946</v>
      </c>
      <c r="K4502">
        <f t="shared" si="70"/>
        <v>325.05751847075521</v>
      </c>
    </row>
    <row r="4503" spans="1:11" x14ac:dyDescent="0.2">
      <c r="A4503" t="s">
        <v>72</v>
      </c>
      <c r="B4503" t="s">
        <v>3476</v>
      </c>
      <c r="C4503" t="s">
        <v>13947</v>
      </c>
      <c r="D4503" t="s">
        <v>13948</v>
      </c>
      <c r="E4503" t="s">
        <v>44</v>
      </c>
      <c r="F4503" t="s">
        <v>24</v>
      </c>
      <c r="G4503" t="s">
        <v>24</v>
      </c>
      <c r="H4503">
        <f>11563*(1.01^10)</f>
        <v>12772.745636129761</v>
      </c>
      <c r="I4503">
        <f>44645*(1.01^10)</f>
        <v>49315.854788983233</v>
      </c>
      <c r="J4503" t="s">
        <v>13949</v>
      </c>
      <c r="K4503">
        <f t="shared" si="70"/>
        <v>222.51459216186976</v>
      </c>
    </row>
    <row r="4504" spans="1:11" x14ac:dyDescent="0.2">
      <c r="A4504" t="s">
        <v>72</v>
      </c>
      <c r="B4504" t="s">
        <v>3476</v>
      </c>
      <c r="C4504" t="s">
        <v>13950</v>
      </c>
      <c r="D4504" t="s">
        <v>13951</v>
      </c>
      <c r="E4504" t="s">
        <v>726</v>
      </c>
      <c r="F4504" t="s">
        <v>24</v>
      </c>
      <c r="G4504" t="s">
        <v>24</v>
      </c>
      <c r="H4504">
        <f>20136*(1.01^10)</f>
        <v>22242.671117280021</v>
      </c>
      <c r="I4504">
        <f>78793*(1.01^10)</f>
        <v>87036.491127525049</v>
      </c>
      <c r="J4504" t="s">
        <v>13952</v>
      </c>
      <c r="K4504">
        <f t="shared" si="70"/>
        <v>302.40983965045405</v>
      </c>
    </row>
    <row r="4505" spans="1:11" x14ac:dyDescent="0.2">
      <c r="A4505" t="s">
        <v>72</v>
      </c>
      <c r="B4505" t="s">
        <v>3476</v>
      </c>
      <c r="C4505" t="s">
        <v>13953</v>
      </c>
      <c r="D4505" t="s">
        <v>13954</v>
      </c>
      <c r="E4505" t="s">
        <v>318</v>
      </c>
      <c r="F4505" t="s">
        <v>24</v>
      </c>
      <c r="G4505" t="s">
        <v>24</v>
      </c>
      <c r="H4505">
        <f>10707*(1.01^10)</f>
        <v>11827.189096777769</v>
      </c>
      <c r="I4505">
        <f>40801*(1.01^10)</f>
        <v>45069.687338902564</v>
      </c>
      <c r="J4505" t="s">
        <v>13955</v>
      </c>
      <c r="K4505">
        <f t="shared" si="70"/>
        <v>299.72028905860651</v>
      </c>
    </row>
    <row r="4506" spans="1:11" x14ac:dyDescent="0.2">
      <c r="A4506" t="s">
        <v>72</v>
      </c>
      <c r="B4506" t="s">
        <v>3476</v>
      </c>
      <c r="C4506" t="s">
        <v>13956</v>
      </c>
      <c r="D4506" t="s">
        <v>13957</v>
      </c>
      <c r="E4506" t="s">
        <v>382</v>
      </c>
      <c r="F4506" t="s">
        <v>24</v>
      </c>
      <c r="G4506" t="s">
        <v>24</v>
      </c>
      <c r="H4506">
        <f>19899*(1.01^10)</f>
        <v>21980.875673557563</v>
      </c>
      <c r="I4506">
        <f>74721*(1.01^10)</f>
        <v>82538.469832850635</v>
      </c>
      <c r="J4506" t="s">
        <v>13958</v>
      </c>
      <c r="K4506">
        <f t="shared" si="70"/>
        <v>609.32050263056328</v>
      </c>
    </row>
    <row r="4507" spans="1:11" x14ac:dyDescent="0.2">
      <c r="A4507" t="s">
        <v>72</v>
      </c>
      <c r="B4507" t="s">
        <v>3476</v>
      </c>
      <c r="C4507" t="s">
        <v>13959</v>
      </c>
      <c r="D4507" t="s">
        <v>13960</v>
      </c>
      <c r="E4507" t="s">
        <v>44</v>
      </c>
      <c r="F4507" t="s">
        <v>24</v>
      </c>
      <c r="G4507" t="s">
        <v>24</v>
      </c>
      <c r="H4507">
        <f>17029*(1.01^10)</f>
        <v>18810.610173627407</v>
      </c>
      <c r="I4507">
        <f>61413*(1.01^10)</f>
        <v>67838.158587878323</v>
      </c>
      <c r="J4507" t="s">
        <v>13961</v>
      </c>
      <c r="K4507">
        <f t="shared" si="70"/>
        <v>436.45698952923198</v>
      </c>
    </row>
    <row r="4508" spans="1:11" x14ac:dyDescent="0.2">
      <c r="A4508" t="s">
        <v>72</v>
      </c>
      <c r="B4508" t="s">
        <v>3476</v>
      </c>
      <c r="C4508" t="s">
        <v>13962</v>
      </c>
      <c r="D4508" t="s">
        <v>13963</v>
      </c>
      <c r="E4508" t="s">
        <v>274</v>
      </c>
      <c r="F4508" t="s">
        <v>24</v>
      </c>
      <c r="G4508" t="s">
        <v>24</v>
      </c>
      <c r="H4508">
        <f>14453*(1.01^10)</f>
        <v>15965.103578568142</v>
      </c>
      <c r="I4508">
        <f>55886*(1.01^10)</f>
        <v>61732.912100730588</v>
      </c>
      <c r="J4508" t="s">
        <v>13964</v>
      </c>
      <c r="K4508">
        <f t="shared" si="70"/>
        <v>301.44311390614047</v>
      </c>
    </row>
    <row r="4509" spans="1:11" x14ac:dyDescent="0.2">
      <c r="A4509" t="s">
        <v>72</v>
      </c>
      <c r="B4509" t="s">
        <v>3476</v>
      </c>
      <c r="C4509" t="s">
        <v>13965</v>
      </c>
      <c r="D4509" t="s">
        <v>13966</v>
      </c>
      <c r="E4509" t="s">
        <v>458</v>
      </c>
      <c r="F4509" t="s">
        <v>24</v>
      </c>
      <c r="G4509" t="s">
        <v>24</v>
      </c>
      <c r="H4509">
        <f>10680*(1.01^10)</f>
        <v>11797.364299391667</v>
      </c>
      <c r="I4509">
        <f>40577*(1.01^10)</f>
        <v>44822.251982810456</v>
      </c>
      <c r="J4509" t="s">
        <v>13967</v>
      </c>
      <c r="K4509">
        <f t="shared" si="70"/>
        <v>282.33475483714813</v>
      </c>
    </row>
    <row r="4510" spans="1:11" x14ac:dyDescent="0.2">
      <c r="A4510" t="s">
        <v>72</v>
      </c>
      <c r="B4510" t="s">
        <v>6562</v>
      </c>
      <c r="C4510" t="s">
        <v>13968</v>
      </c>
      <c r="D4510" t="s">
        <v>13969</v>
      </c>
      <c r="E4510" t="s">
        <v>103</v>
      </c>
      <c r="F4510" t="s">
        <v>12</v>
      </c>
      <c r="G4510" t="s">
        <v>24</v>
      </c>
      <c r="H4510">
        <f>9684*(1.01^10)</f>
        <v>10697.160662482107</v>
      </c>
      <c r="I4510">
        <f>52573*(1.01^10)</f>
        <v>58073.29899924327</v>
      </c>
      <c r="J4510" t="s">
        <v>13970</v>
      </c>
      <c r="K4510">
        <f t="shared" si="70"/>
        <v>205.30729727549286</v>
      </c>
    </row>
    <row r="4511" spans="1:11" x14ac:dyDescent="0.2">
      <c r="A4511" t="s">
        <v>72</v>
      </c>
      <c r="B4511" t="s">
        <v>6562</v>
      </c>
      <c r="C4511" t="s">
        <v>13971</v>
      </c>
      <c r="D4511" t="s">
        <v>13972</v>
      </c>
      <c r="E4511" t="s">
        <v>789</v>
      </c>
      <c r="F4511" t="s">
        <v>24</v>
      </c>
      <c r="G4511" t="s">
        <v>24</v>
      </c>
      <c r="H4511">
        <f>11268*(1.01^10)</f>
        <v>12446.882109133456</v>
      </c>
      <c r="I4511">
        <f>59501*(1.01^10)</f>
        <v>65726.121084092098</v>
      </c>
      <c r="J4511" t="s">
        <v>13973</v>
      </c>
      <c r="K4511">
        <f t="shared" si="70"/>
        <v>228.35416388263181</v>
      </c>
    </row>
    <row r="4512" spans="1:11" x14ac:dyDescent="0.2">
      <c r="A4512" t="s">
        <v>72</v>
      </c>
      <c r="B4512" t="s">
        <v>6562</v>
      </c>
      <c r="C4512" t="s">
        <v>13974</v>
      </c>
      <c r="D4512" t="s">
        <v>13975</v>
      </c>
      <c r="E4512" t="s">
        <v>1506</v>
      </c>
      <c r="F4512" t="s">
        <v>24</v>
      </c>
      <c r="G4512" t="s">
        <v>12</v>
      </c>
      <c r="H4512">
        <f>16390*(1.01^10)</f>
        <v>18104.756635489644</v>
      </c>
      <c r="I4512">
        <f>82127*(1.01^10)</f>
        <v>90719.301293646015</v>
      </c>
      <c r="J4512" t="s">
        <v>13976</v>
      </c>
      <c r="K4512">
        <f t="shared" si="70"/>
        <v>445.18032944730686</v>
      </c>
    </row>
    <row r="4513" spans="1:11" x14ac:dyDescent="0.2">
      <c r="A4513" t="s">
        <v>72</v>
      </c>
      <c r="B4513" t="s">
        <v>6562</v>
      </c>
      <c r="C4513" t="s">
        <v>13977</v>
      </c>
      <c r="D4513" t="s">
        <v>13978</v>
      </c>
      <c r="E4513" t="s">
        <v>726</v>
      </c>
      <c r="F4513" t="s">
        <v>12</v>
      </c>
      <c r="G4513" t="s">
        <v>24</v>
      </c>
      <c r="H4513">
        <f>10761*(1.01^10)</f>
        <v>11886.838691549974</v>
      </c>
      <c r="I4513">
        <f>51486*(1.01^10)</f>
        <v>56872.574748921288</v>
      </c>
      <c r="J4513" t="s">
        <v>13979</v>
      </c>
      <c r="K4513">
        <f t="shared" si="70"/>
        <v>247.09865889975677</v>
      </c>
    </row>
    <row r="4514" spans="1:11" x14ac:dyDescent="0.2">
      <c r="A4514" t="s">
        <v>72</v>
      </c>
      <c r="B4514" t="s">
        <v>6562</v>
      </c>
      <c r="C4514" t="s">
        <v>13980</v>
      </c>
      <c r="D4514" t="s">
        <v>13981</v>
      </c>
      <c r="E4514" t="s">
        <v>796</v>
      </c>
      <c r="F4514" t="s">
        <v>17</v>
      </c>
      <c r="G4514" t="s">
        <v>12</v>
      </c>
      <c r="H4514">
        <f>9071*(1.01^10)</f>
        <v>10020.027299605039</v>
      </c>
      <c r="I4514">
        <f>41153*(1.01^10)</f>
        <v>45458.514327047305</v>
      </c>
      <c r="J4514" t="s">
        <v>13982</v>
      </c>
      <c r="K4514">
        <f t="shared" si="70"/>
        <v>318.72734977900524</v>
      </c>
    </row>
    <row r="4515" spans="1:11" x14ac:dyDescent="0.2">
      <c r="A4515" t="s">
        <v>72</v>
      </c>
      <c r="B4515" t="s">
        <v>6562</v>
      </c>
      <c r="C4515" t="s">
        <v>13983</v>
      </c>
      <c r="D4515" t="s">
        <v>13984</v>
      </c>
      <c r="E4515" t="s">
        <v>427</v>
      </c>
      <c r="F4515" t="s">
        <v>24</v>
      </c>
      <c r="G4515" t="s">
        <v>24</v>
      </c>
      <c r="H4515">
        <f>12504*(1.01^10)</f>
        <v>13812.195056141703</v>
      </c>
      <c r="I4515">
        <f>57149*(1.01^10)</f>
        <v>63128.049845124937</v>
      </c>
      <c r="J4515" t="s">
        <v>13985</v>
      </c>
      <c r="K4515">
        <f t="shared" si="70"/>
        <v>333.06804747336884</v>
      </c>
    </row>
    <row r="4516" spans="1:11" x14ac:dyDescent="0.2">
      <c r="A4516" t="s">
        <v>72</v>
      </c>
      <c r="B4516" t="s">
        <v>6562</v>
      </c>
      <c r="C4516" t="s">
        <v>13986</v>
      </c>
      <c r="D4516" t="s">
        <v>13987</v>
      </c>
      <c r="E4516" t="s">
        <v>1506</v>
      </c>
      <c r="F4516" t="s">
        <v>12</v>
      </c>
      <c r="G4516" t="s">
        <v>12</v>
      </c>
      <c r="H4516">
        <f>25110*(1.01^10)</f>
        <v>27737.061569075351</v>
      </c>
      <c r="I4516">
        <f>115177*(1.01^10)</f>
        <v>127227.06253848632</v>
      </c>
      <c r="J4516" t="s">
        <v>13988</v>
      </c>
      <c r="K4516">
        <f t="shared" si="70"/>
        <v>389.18467759033268</v>
      </c>
    </row>
    <row r="4517" spans="1:11" x14ac:dyDescent="0.2">
      <c r="A4517" t="s">
        <v>72</v>
      </c>
      <c r="B4517" t="s">
        <v>6562</v>
      </c>
      <c r="C4517" t="s">
        <v>13989</v>
      </c>
      <c r="D4517" t="s">
        <v>13990</v>
      </c>
      <c r="E4517" t="s">
        <v>726</v>
      </c>
      <c r="F4517" t="s">
        <v>24</v>
      </c>
      <c r="G4517" t="s">
        <v>24</v>
      </c>
      <c r="H4517">
        <f>15174*(1.01^10)</f>
        <v>16761.536130989622</v>
      </c>
      <c r="I4517">
        <f>68846*(1.01^10)</f>
        <v>76048.814846059802</v>
      </c>
      <c r="J4517" t="s">
        <v>13991</v>
      </c>
      <c r="K4517">
        <f t="shared" si="70"/>
        <v>300.06486952730677</v>
      </c>
    </row>
    <row r="4518" spans="1:11" x14ac:dyDescent="0.2">
      <c r="A4518" t="s">
        <v>72</v>
      </c>
      <c r="B4518" t="s">
        <v>6562</v>
      </c>
      <c r="C4518" t="s">
        <v>13992</v>
      </c>
      <c r="D4518" t="s">
        <v>13993</v>
      </c>
      <c r="E4518" t="s">
        <v>77</v>
      </c>
      <c r="F4518" t="s">
        <v>12</v>
      </c>
      <c r="G4518" t="s">
        <v>24</v>
      </c>
      <c r="H4518">
        <f>17123*(1.01^10)</f>
        <v>18914.44465341606</v>
      </c>
      <c r="I4518">
        <f>71847*(1.01^10)</f>
        <v>79363.785844418831</v>
      </c>
      <c r="J4518" t="s">
        <v>13994</v>
      </c>
      <c r="K4518">
        <f t="shared" si="70"/>
        <v>337.74383817108804</v>
      </c>
    </row>
    <row r="4519" spans="1:11" x14ac:dyDescent="0.2">
      <c r="A4519" t="s">
        <v>72</v>
      </c>
      <c r="B4519" t="s">
        <v>6562</v>
      </c>
      <c r="C4519" t="s">
        <v>13995</v>
      </c>
      <c r="D4519" t="s">
        <v>13996</v>
      </c>
      <c r="E4519" t="s">
        <v>1340</v>
      </c>
      <c r="F4519" t="s">
        <v>24</v>
      </c>
      <c r="G4519" t="s">
        <v>11</v>
      </c>
      <c r="H4519">
        <f>39981*(1.01^10)</f>
        <v>44163.89719606538</v>
      </c>
      <c r="I4519">
        <f>172878*(1.01^10)</f>
        <v>190964.86379683827</v>
      </c>
      <c r="J4519" t="s">
        <v>13997</v>
      </c>
      <c r="K4519">
        <f t="shared" si="70"/>
        <v>746.96045308593898</v>
      </c>
    </row>
    <row r="4520" spans="1:11" x14ac:dyDescent="0.2">
      <c r="A4520" t="s">
        <v>72</v>
      </c>
      <c r="B4520" t="s">
        <v>6562</v>
      </c>
      <c r="C4520" t="s">
        <v>13998</v>
      </c>
      <c r="D4520" t="s">
        <v>13999</v>
      </c>
      <c r="E4520" t="s">
        <v>61</v>
      </c>
      <c r="F4520" t="s">
        <v>24</v>
      </c>
      <c r="G4520" t="s">
        <v>24</v>
      </c>
      <c r="H4520">
        <f>14133*(1.01^10)</f>
        <v>15611.624498436557</v>
      </c>
      <c r="I4520">
        <f>58271*(1.01^10)</f>
        <v>64367.435869836314</v>
      </c>
      <c r="J4520" t="s">
        <v>14000</v>
      </c>
      <c r="K4520">
        <f t="shared" si="70"/>
        <v>243.90208023641591</v>
      </c>
    </row>
    <row r="4521" spans="1:11" x14ac:dyDescent="0.2">
      <c r="A4521" t="s">
        <v>72</v>
      </c>
      <c r="B4521" t="s">
        <v>6562</v>
      </c>
      <c r="C4521" t="s">
        <v>14001</v>
      </c>
      <c r="D4521" t="s">
        <v>14002</v>
      </c>
      <c r="E4521" t="s">
        <v>1340</v>
      </c>
      <c r="F4521" t="s">
        <v>24</v>
      </c>
      <c r="G4521" t="s">
        <v>24</v>
      </c>
      <c r="H4521">
        <f>10089*(1.01^10)</f>
        <v>11144.532623273644</v>
      </c>
      <c r="I4521">
        <f>41794*(1.01^10)</f>
        <v>46166.577109435893</v>
      </c>
      <c r="J4521" t="s">
        <v>14003</v>
      </c>
      <c r="K4521">
        <f t="shared" si="70"/>
        <v>241.38726809843354</v>
      </c>
    </row>
    <row r="4522" spans="1:11" x14ac:dyDescent="0.2">
      <c r="A4522" t="s">
        <v>72</v>
      </c>
      <c r="B4522" t="s">
        <v>6562</v>
      </c>
      <c r="C4522" t="s">
        <v>14004</v>
      </c>
      <c r="D4522" t="s">
        <v>14005</v>
      </c>
      <c r="E4522" t="s">
        <v>1340</v>
      </c>
      <c r="F4522" t="s">
        <v>24</v>
      </c>
      <c r="G4522" t="s">
        <v>24</v>
      </c>
      <c r="H4522">
        <f>10922*(1.01^10)</f>
        <v>12064.682853741178</v>
      </c>
      <c r="I4522">
        <f>48592*(1.01^10)</f>
        <v>53675.798317981258</v>
      </c>
      <c r="J4522" t="s">
        <v>14006</v>
      </c>
      <c r="K4522">
        <f t="shared" si="70"/>
        <v>212.1846380392663</v>
      </c>
    </row>
    <row r="4523" spans="1:11" x14ac:dyDescent="0.2">
      <c r="A4523" t="s">
        <v>72</v>
      </c>
      <c r="B4523" t="s">
        <v>6562</v>
      </c>
      <c r="C4523" t="s">
        <v>14007</v>
      </c>
      <c r="D4523" t="s">
        <v>14008</v>
      </c>
      <c r="E4523" t="s">
        <v>44</v>
      </c>
      <c r="F4523" t="s">
        <v>24</v>
      </c>
      <c r="G4523" t="s">
        <v>24</v>
      </c>
      <c r="H4523">
        <f>7941*(1.01^10)</f>
        <v>8771.8042978903777</v>
      </c>
      <c r="I4523">
        <f>34488*(1.01^10)</f>
        <v>38096.207861181632</v>
      </c>
      <c r="J4523" t="s">
        <v>14009</v>
      </c>
      <c r="K4523">
        <f t="shared" si="70"/>
        <v>227.34007805780175</v>
      </c>
    </row>
    <row r="4524" spans="1:11" x14ac:dyDescent="0.2">
      <c r="A4524" t="s">
        <v>72</v>
      </c>
      <c r="B4524" t="s">
        <v>6562</v>
      </c>
      <c r="C4524" t="s">
        <v>14010</v>
      </c>
      <c r="D4524" t="s">
        <v>14011</v>
      </c>
      <c r="E4524" t="s">
        <v>411</v>
      </c>
      <c r="F4524" t="s">
        <v>24</v>
      </c>
      <c r="G4524" t="s">
        <v>24</v>
      </c>
      <c r="H4524">
        <f>9421*(1.01^10)</f>
        <v>10406.64504349896</v>
      </c>
      <c r="I4524">
        <f>42002*(1.01^10)</f>
        <v>46396.338511521419</v>
      </c>
      <c r="J4524" t="s">
        <v>14012</v>
      </c>
      <c r="K4524">
        <f t="shared" si="70"/>
        <v>313.68079772447044</v>
      </c>
    </row>
    <row r="4525" spans="1:11" x14ac:dyDescent="0.2">
      <c r="A4525" t="s">
        <v>72</v>
      </c>
      <c r="B4525" t="s">
        <v>6562</v>
      </c>
      <c r="C4525" t="s">
        <v>14013</v>
      </c>
      <c r="D4525" t="s">
        <v>14014</v>
      </c>
      <c r="E4525" t="s">
        <v>1656</v>
      </c>
      <c r="F4525" t="s">
        <v>17</v>
      </c>
      <c r="G4525" t="s">
        <v>24</v>
      </c>
      <c r="H4525">
        <f>12025*(1.01^10)</f>
        <v>13283.081058069738</v>
      </c>
      <c r="I4525">
        <f>53824*(1.01^10)</f>
        <v>59455.181278132681</v>
      </c>
      <c r="J4525" t="s">
        <v>14015</v>
      </c>
      <c r="K4525">
        <f t="shared" si="70"/>
        <v>272.73501388212549</v>
      </c>
    </row>
    <row r="4526" spans="1:11" x14ac:dyDescent="0.2">
      <c r="A4526" t="s">
        <v>72</v>
      </c>
      <c r="B4526" t="s">
        <v>6562</v>
      </c>
      <c r="C4526" t="s">
        <v>14016</v>
      </c>
      <c r="D4526" t="s">
        <v>14017</v>
      </c>
      <c r="E4526" t="s">
        <v>56</v>
      </c>
      <c r="F4526" t="s">
        <v>24</v>
      </c>
      <c r="G4526" t="s">
        <v>12</v>
      </c>
      <c r="H4526">
        <f>13074*(1.01^10)</f>
        <v>14441.829667626091</v>
      </c>
      <c r="I4526">
        <f>58865*(1.01^10)</f>
        <v>65023.581412330568</v>
      </c>
      <c r="J4526" t="s">
        <v>14018</v>
      </c>
      <c r="K4526">
        <f t="shared" si="70"/>
        <v>308.95016187264343</v>
      </c>
    </row>
    <row r="4527" spans="1:11" x14ac:dyDescent="0.2">
      <c r="A4527" t="s">
        <v>72</v>
      </c>
      <c r="B4527" t="s">
        <v>6562</v>
      </c>
      <c r="C4527" t="s">
        <v>14019</v>
      </c>
      <c r="D4527" t="s">
        <v>14020</v>
      </c>
      <c r="E4527" t="s">
        <v>422</v>
      </c>
      <c r="F4527" t="s">
        <v>24</v>
      </c>
      <c r="G4527" t="s">
        <v>24</v>
      </c>
      <c r="H4527">
        <f>10023*(1.01^10)</f>
        <v>11071.627562996506</v>
      </c>
      <c r="I4527">
        <f>44994*(1.01^10)</f>
        <v>49701.367910751746</v>
      </c>
      <c r="J4527" t="s">
        <v>14021</v>
      </c>
      <c r="K4527">
        <f t="shared" si="70"/>
        <v>332.11686629847821</v>
      </c>
    </row>
    <row r="4528" spans="1:11" x14ac:dyDescent="0.2">
      <c r="A4528" t="s">
        <v>72</v>
      </c>
      <c r="B4528" t="s">
        <v>6562</v>
      </c>
      <c r="C4528" t="s">
        <v>14022</v>
      </c>
      <c r="D4528" t="s">
        <v>14023</v>
      </c>
      <c r="E4528" t="s">
        <v>1340</v>
      </c>
      <c r="F4528" t="s">
        <v>24</v>
      </c>
      <c r="G4528" t="s">
        <v>24</v>
      </c>
      <c r="H4528">
        <f>8068*(1.01^10)</f>
        <v>8912.0913078176</v>
      </c>
      <c r="I4528">
        <f>35910*(1.01^10)</f>
        <v>39666.980523516366</v>
      </c>
      <c r="J4528" t="s">
        <v>14024</v>
      </c>
      <c r="K4528">
        <f t="shared" si="70"/>
        <v>260.07013757032979</v>
      </c>
    </row>
    <row r="4529" spans="1:11" x14ac:dyDescent="0.2">
      <c r="A4529" t="s">
        <v>72</v>
      </c>
      <c r="B4529" t="s">
        <v>6562</v>
      </c>
      <c r="C4529" t="s">
        <v>14025</v>
      </c>
      <c r="D4529" t="s">
        <v>14026</v>
      </c>
      <c r="E4529" t="s">
        <v>422</v>
      </c>
      <c r="F4529" t="s">
        <v>24</v>
      </c>
      <c r="G4529" t="s">
        <v>24</v>
      </c>
      <c r="H4529">
        <f>7793*(1.01^10)</f>
        <v>8608.3202233295178</v>
      </c>
      <c r="I4529">
        <f>37879*(1.01^10)</f>
        <v>41841.981488451027</v>
      </c>
      <c r="J4529" t="s">
        <v>14027</v>
      </c>
      <c r="K4529">
        <f t="shared" si="70"/>
        <v>308.73352328567847</v>
      </c>
    </row>
    <row r="4530" spans="1:11" x14ac:dyDescent="0.2">
      <c r="A4530" t="s">
        <v>72</v>
      </c>
      <c r="B4530" t="s">
        <v>6562</v>
      </c>
      <c r="C4530" t="s">
        <v>14028</v>
      </c>
      <c r="D4530" t="s">
        <v>14029</v>
      </c>
      <c r="E4530" t="s">
        <v>422</v>
      </c>
      <c r="F4530" t="s">
        <v>24</v>
      </c>
      <c r="G4530" t="s">
        <v>24</v>
      </c>
      <c r="H4530">
        <f>9914*(1.01^10)</f>
        <v>10951.223751326685</v>
      </c>
      <c r="I4530">
        <f>47678*(1.01^10)</f>
        <v>52666.173695355421</v>
      </c>
      <c r="J4530" t="s">
        <v>14030</v>
      </c>
      <c r="K4530">
        <f t="shared" si="70"/>
        <v>373.22551183030635</v>
      </c>
    </row>
    <row r="4531" spans="1:11" x14ac:dyDescent="0.2">
      <c r="A4531" t="s">
        <v>72</v>
      </c>
      <c r="B4531" t="s">
        <v>6562</v>
      </c>
      <c r="C4531" t="s">
        <v>14031</v>
      </c>
      <c r="D4531" t="s">
        <v>14032</v>
      </c>
      <c r="E4531" t="s">
        <v>77</v>
      </c>
      <c r="F4531" t="s">
        <v>24</v>
      </c>
      <c r="G4531" t="s">
        <v>24</v>
      </c>
      <c r="H4531">
        <f>7494*(1.01^10)</f>
        <v>8278.0382078315688</v>
      </c>
      <c r="I4531">
        <f>36167*(1.01^10)</f>
        <v>39950.86840974704</v>
      </c>
      <c r="J4531" t="s">
        <v>14033</v>
      </c>
      <c r="K4531">
        <f t="shared" si="70"/>
        <v>284.55013041315476</v>
      </c>
    </row>
    <row r="4532" spans="1:11" x14ac:dyDescent="0.2">
      <c r="A4532" t="s">
        <v>72</v>
      </c>
      <c r="B4532" t="s">
        <v>6562</v>
      </c>
      <c r="C4532" t="s">
        <v>14034</v>
      </c>
      <c r="D4532" t="s">
        <v>14035</v>
      </c>
      <c r="E4532" t="s">
        <v>97</v>
      </c>
      <c r="F4532" t="s">
        <v>5</v>
      </c>
      <c r="G4532" t="s">
        <v>24</v>
      </c>
      <c r="H4532">
        <f>8388*(1.01^10)</f>
        <v>9265.5703879491848</v>
      </c>
      <c r="I4532">
        <f>40732*(1.01^10)</f>
        <v>44993.468412249189</v>
      </c>
      <c r="J4532" t="s">
        <v>14036</v>
      </c>
      <c r="K4532">
        <f t="shared" si="70"/>
        <v>216.19245533751464</v>
      </c>
    </row>
    <row r="4533" spans="1:11" x14ac:dyDescent="0.2">
      <c r="A4533" t="s">
        <v>72</v>
      </c>
      <c r="B4533" t="s">
        <v>6562</v>
      </c>
      <c r="C4533" t="s">
        <v>14037</v>
      </c>
      <c r="D4533" t="s">
        <v>14038</v>
      </c>
      <c r="E4533" t="s">
        <v>16</v>
      </c>
      <c r="F4533" t="s">
        <v>24</v>
      </c>
      <c r="G4533" t="s">
        <v>24</v>
      </c>
      <c r="H4533">
        <f>11024*(1.01^10)</f>
        <v>12177.354310533121</v>
      </c>
      <c r="I4533">
        <f>57110*(1.01^10)</f>
        <v>63084.969582233905</v>
      </c>
      <c r="J4533" t="s">
        <v>14039</v>
      </c>
      <c r="K4533">
        <f t="shared" si="70"/>
        <v>220.76600895996395</v>
      </c>
    </row>
    <row r="4534" spans="1:11" x14ac:dyDescent="0.2">
      <c r="A4534" t="s">
        <v>72</v>
      </c>
      <c r="B4534" t="s">
        <v>6562</v>
      </c>
      <c r="C4534" t="s">
        <v>14040</v>
      </c>
      <c r="D4534" t="s">
        <v>14041</v>
      </c>
      <c r="E4534" t="s">
        <v>103</v>
      </c>
      <c r="F4534" t="s">
        <v>24</v>
      </c>
      <c r="G4534" t="s">
        <v>17</v>
      </c>
      <c r="H4534">
        <f>33181*(1.01^10)</f>
        <v>36652.466743269186</v>
      </c>
      <c r="I4534">
        <f>169451*(1.01^10)</f>
        <v>187179.32377305406</v>
      </c>
      <c r="J4534" t="s">
        <v>14042</v>
      </c>
      <c r="K4534">
        <f t="shared" si="70"/>
        <v>443.11627973354143</v>
      </c>
    </row>
    <row r="4535" spans="1:11" x14ac:dyDescent="0.2">
      <c r="A4535" t="s">
        <v>72</v>
      </c>
      <c r="B4535" t="s">
        <v>6562</v>
      </c>
      <c r="C4535" t="s">
        <v>14043</v>
      </c>
      <c r="D4535" t="s">
        <v>14044</v>
      </c>
      <c r="E4535" t="s">
        <v>61</v>
      </c>
      <c r="F4535" t="s">
        <v>24</v>
      </c>
      <c r="G4535" t="s">
        <v>24</v>
      </c>
      <c r="H4535">
        <f>12601*(1.01^10)</f>
        <v>13919.343402306591</v>
      </c>
      <c r="I4535">
        <f>60638*(1.01^10)</f>
        <v>66982.076440684628</v>
      </c>
      <c r="J4535" t="s">
        <v>14045</v>
      </c>
      <c r="K4535">
        <f t="shared" si="70"/>
        <v>303.12324329228647</v>
      </c>
    </row>
    <row r="4536" spans="1:11" x14ac:dyDescent="0.2">
      <c r="A4536" t="s">
        <v>72</v>
      </c>
      <c r="B4536" t="s">
        <v>6562</v>
      </c>
      <c r="C4536" t="s">
        <v>14046</v>
      </c>
      <c r="D4536" t="s">
        <v>14047</v>
      </c>
      <c r="E4536" t="s">
        <v>520</v>
      </c>
      <c r="F4536" t="s">
        <v>12</v>
      </c>
      <c r="G4536" t="s">
        <v>24</v>
      </c>
      <c r="H4536">
        <f>9088*(1.01^10)</f>
        <v>10038.805875737029</v>
      </c>
      <c r="I4536">
        <f>44583*(1.01^10)</f>
        <v>49247.368217207739</v>
      </c>
      <c r="J4536" t="s">
        <v>14048</v>
      </c>
      <c r="K4536">
        <f t="shared" si="70"/>
        <v>257.21846882321461</v>
      </c>
    </row>
    <row r="4537" spans="1:11" x14ac:dyDescent="0.2">
      <c r="A4537" t="s">
        <v>72</v>
      </c>
      <c r="B4537" t="s">
        <v>6562</v>
      </c>
      <c r="C4537" t="s">
        <v>14049</v>
      </c>
      <c r="D4537" t="s">
        <v>14050</v>
      </c>
      <c r="E4537" t="s">
        <v>1656</v>
      </c>
      <c r="F4537" t="s">
        <v>17</v>
      </c>
      <c r="G4537" t="s">
        <v>24</v>
      </c>
      <c r="H4537">
        <f>8622*(1.01^10)</f>
        <v>9524.0519652954081</v>
      </c>
      <c r="I4537">
        <f>40965*(1.01^10)</f>
        <v>45250.845367469999</v>
      </c>
      <c r="J4537" t="s">
        <v>14051</v>
      </c>
      <c r="K4537">
        <f t="shared" si="70"/>
        <v>224.32407930171959</v>
      </c>
    </row>
    <row r="4538" spans="1:11" x14ac:dyDescent="0.2">
      <c r="A4538" t="s">
        <v>72</v>
      </c>
      <c r="B4538" t="s">
        <v>6562</v>
      </c>
      <c r="C4538" t="s">
        <v>14052</v>
      </c>
      <c r="D4538" t="s">
        <v>14053</v>
      </c>
      <c r="E4538" t="s">
        <v>56</v>
      </c>
      <c r="F4538" t="s">
        <v>17</v>
      </c>
      <c r="G4538" t="s">
        <v>24</v>
      </c>
      <c r="H4538">
        <f>11364*(1.01^10)</f>
        <v>12552.925833172931</v>
      </c>
      <c r="I4538">
        <f>51386*(1.01^10)</f>
        <v>56762.112536380169</v>
      </c>
      <c r="J4538" t="s">
        <v>14054</v>
      </c>
      <c r="K4538">
        <f t="shared" si="70"/>
        <v>227.30061445030142</v>
      </c>
    </row>
    <row r="4539" spans="1:11" x14ac:dyDescent="0.2">
      <c r="A4539" t="s">
        <v>72</v>
      </c>
      <c r="B4539" t="s">
        <v>6562</v>
      </c>
      <c r="C4539" t="s">
        <v>14055</v>
      </c>
      <c r="D4539" t="s">
        <v>14056</v>
      </c>
      <c r="E4539" t="s">
        <v>427</v>
      </c>
      <c r="F4539" t="s">
        <v>24</v>
      </c>
      <c r="G4539" t="s">
        <v>12</v>
      </c>
      <c r="H4539">
        <f>13680*(1.01^10)</f>
        <v>15111.23067562528</v>
      </c>
      <c r="I4539">
        <f>63536*(1.01^10)</f>
        <v>70183.271360126309</v>
      </c>
      <c r="J4539" t="s">
        <v>14057</v>
      </c>
      <c r="K4539">
        <f t="shared" si="70"/>
        <v>399.11960952067705</v>
      </c>
    </row>
    <row r="4540" spans="1:11" x14ac:dyDescent="0.2">
      <c r="A4540" t="s">
        <v>72</v>
      </c>
      <c r="B4540" t="s">
        <v>6562</v>
      </c>
      <c r="C4540" t="s">
        <v>14058</v>
      </c>
      <c r="D4540" t="s">
        <v>14059</v>
      </c>
      <c r="E4540" t="s">
        <v>520</v>
      </c>
      <c r="F4540" t="s">
        <v>12</v>
      </c>
      <c r="G4540" t="s">
        <v>24</v>
      </c>
      <c r="H4540">
        <f>12021*(1.01^10)</f>
        <v>13278.662569568092</v>
      </c>
      <c r="I4540">
        <f>55518*(1.01^10)</f>
        <v>61326.411158579263</v>
      </c>
      <c r="J4540" t="s">
        <v>14060</v>
      </c>
      <c r="K4540">
        <f t="shared" si="70"/>
        <v>266.68829655191888</v>
      </c>
    </row>
    <row r="4541" spans="1:11" x14ac:dyDescent="0.2">
      <c r="A4541" t="s">
        <v>72</v>
      </c>
      <c r="B4541" t="s">
        <v>6562</v>
      </c>
      <c r="C4541" t="s">
        <v>14061</v>
      </c>
      <c r="D4541" t="s">
        <v>14062</v>
      </c>
      <c r="E4541" t="s">
        <v>796</v>
      </c>
      <c r="F4541" t="s">
        <v>24</v>
      </c>
      <c r="G4541" t="s">
        <v>24</v>
      </c>
      <c r="H4541">
        <f>9516*(1.01^10)</f>
        <v>10511.584145413024</v>
      </c>
      <c r="I4541">
        <f>42309*(1.01^10)</f>
        <v>46735.457504022663</v>
      </c>
      <c r="J4541" t="s">
        <v>14063</v>
      </c>
      <c r="K4541">
        <f t="shared" si="70"/>
        <v>243.67926012255489</v>
      </c>
    </row>
    <row r="4542" spans="1:11" x14ac:dyDescent="0.2">
      <c r="A4542" t="s">
        <v>72</v>
      </c>
      <c r="B4542" t="s">
        <v>6562</v>
      </c>
      <c r="C4542" t="s">
        <v>14064</v>
      </c>
      <c r="D4542" t="s">
        <v>14065</v>
      </c>
      <c r="E4542" t="s">
        <v>97</v>
      </c>
      <c r="F4542" t="s">
        <v>17</v>
      </c>
      <c r="G4542" t="s">
        <v>24</v>
      </c>
      <c r="H4542">
        <f>13760*(1.01^10)</f>
        <v>15199.600445658178</v>
      </c>
      <c r="I4542">
        <f>60580*(1.01^10)</f>
        <v>66918.008357410785</v>
      </c>
      <c r="J4542" t="s">
        <v>14066</v>
      </c>
      <c r="K4542">
        <f t="shared" si="70"/>
        <v>335.26242993602409</v>
      </c>
    </row>
    <row r="4543" spans="1:11" x14ac:dyDescent="0.2">
      <c r="A4543" t="s">
        <v>72</v>
      </c>
      <c r="B4543" t="s">
        <v>6562</v>
      </c>
      <c r="C4543" t="s">
        <v>14067</v>
      </c>
      <c r="D4543" t="s">
        <v>14068</v>
      </c>
      <c r="E4543" t="s">
        <v>726</v>
      </c>
      <c r="F4543" t="s">
        <v>12</v>
      </c>
      <c r="G4543" t="s">
        <v>12</v>
      </c>
      <c r="H4543">
        <f>17590*(1.01^10)</f>
        <v>19430.303185983092</v>
      </c>
      <c r="I4543">
        <f>77264*(1.01^10)</f>
        <v>85347.523897771331</v>
      </c>
      <c r="J4543" t="s">
        <v>14069</v>
      </c>
      <c r="K4543">
        <f t="shared" si="70"/>
        <v>459.99955169344781</v>
      </c>
    </row>
    <row r="4544" spans="1:11" x14ac:dyDescent="0.2">
      <c r="A4544" t="s">
        <v>72</v>
      </c>
      <c r="B4544" t="s">
        <v>6562</v>
      </c>
      <c r="C4544" t="s">
        <v>14070</v>
      </c>
      <c r="D4544" t="s">
        <v>14071</v>
      </c>
      <c r="E4544" t="s">
        <v>56</v>
      </c>
      <c r="F4544" t="s">
        <v>24</v>
      </c>
      <c r="G4544" t="s">
        <v>24</v>
      </c>
      <c r="H4544">
        <f>11094*(1.01^10)</f>
        <v>12254.677859311905</v>
      </c>
      <c r="I4544">
        <f>47093*(1.01^10)</f>
        <v>52019.969751989862</v>
      </c>
      <c r="J4544" t="s">
        <v>14072</v>
      </c>
      <c r="K4544">
        <f t="shared" si="70"/>
        <v>236.53784554046183</v>
      </c>
    </row>
    <row r="4545" spans="1:11" x14ac:dyDescent="0.2">
      <c r="A4545" t="s">
        <v>72</v>
      </c>
      <c r="B4545" t="s">
        <v>6562</v>
      </c>
      <c r="C4545" t="s">
        <v>14073</v>
      </c>
      <c r="D4545" t="s">
        <v>14074</v>
      </c>
      <c r="E4545" t="s">
        <v>796</v>
      </c>
      <c r="F4545" t="s">
        <v>17</v>
      </c>
      <c r="G4545" t="s">
        <v>24</v>
      </c>
      <c r="H4545">
        <f>9992*(1.01^10)</f>
        <v>11037.384277108758</v>
      </c>
      <c r="I4545">
        <f>44525*(1.01^10)</f>
        <v>49183.300133933888</v>
      </c>
      <c r="J4545" t="s">
        <v>14075</v>
      </c>
      <c r="K4545">
        <f t="shared" si="70"/>
        <v>301.07194462332524</v>
      </c>
    </row>
    <row r="4546" spans="1:11" x14ac:dyDescent="0.2">
      <c r="A4546" t="s">
        <v>72</v>
      </c>
      <c r="B4546" t="s">
        <v>6562</v>
      </c>
      <c r="C4546" t="s">
        <v>14076</v>
      </c>
      <c r="D4546" t="s">
        <v>14077</v>
      </c>
      <c r="E4546" t="s">
        <v>313</v>
      </c>
      <c r="F4546" t="s">
        <v>24</v>
      </c>
      <c r="G4546" t="s">
        <v>24</v>
      </c>
      <c r="H4546">
        <f>10079*(1.01^10)</f>
        <v>11133.486402019533</v>
      </c>
      <c r="I4546">
        <f>44076*(1.01^10)</f>
        <v>48687.324799624257</v>
      </c>
      <c r="J4546" t="s">
        <v>14078</v>
      </c>
      <c r="K4546">
        <f t="shared" si="70"/>
        <v>228.5897777069134</v>
      </c>
    </row>
    <row r="4547" spans="1:11" x14ac:dyDescent="0.2">
      <c r="A4547" t="s">
        <v>72</v>
      </c>
      <c r="B4547" t="s">
        <v>6562</v>
      </c>
      <c r="C4547" t="s">
        <v>14079</v>
      </c>
      <c r="D4547" t="s">
        <v>14080</v>
      </c>
      <c r="E4547" t="s">
        <v>313</v>
      </c>
      <c r="F4547" t="s">
        <v>24</v>
      </c>
      <c r="G4547" t="s">
        <v>24</v>
      </c>
      <c r="H4547">
        <f>10275*(1.01^10)</f>
        <v>11349.992338600128</v>
      </c>
      <c r="I4547">
        <f>45132*(1.01^10)</f>
        <v>49853.805764058496</v>
      </c>
      <c r="J4547" t="s">
        <v>14081</v>
      </c>
      <c r="K4547">
        <f t="shared" ref="K4547:K4610" si="71">I4547/J4547</f>
        <v>250.39021441823564</v>
      </c>
    </row>
    <row r="4548" spans="1:11" x14ac:dyDescent="0.2">
      <c r="A4548" t="s">
        <v>72</v>
      </c>
      <c r="B4548" t="s">
        <v>6562</v>
      </c>
      <c r="C4548" t="s">
        <v>14082</v>
      </c>
      <c r="D4548" t="s">
        <v>14083</v>
      </c>
      <c r="E4548" t="s">
        <v>97</v>
      </c>
      <c r="F4548" t="s">
        <v>17</v>
      </c>
      <c r="G4548" t="s">
        <v>24</v>
      </c>
      <c r="H4548">
        <f>11844*(1.01^10)</f>
        <v>13083.144453370309</v>
      </c>
      <c r="I4548">
        <f>53774*(1.01^10)</f>
        <v>59399.950171862125</v>
      </c>
      <c r="J4548" t="s">
        <v>14084</v>
      </c>
      <c r="K4548">
        <f t="shared" si="71"/>
        <v>310.21191455262101</v>
      </c>
    </row>
    <row r="4549" spans="1:11" x14ac:dyDescent="0.2">
      <c r="A4549" t="s">
        <v>72</v>
      </c>
      <c r="B4549" t="s">
        <v>6562</v>
      </c>
      <c r="C4549" t="s">
        <v>14085</v>
      </c>
      <c r="D4549" t="s">
        <v>14086</v>
      </c>
      <c r="E4549" t="s">
        <v>103</v>
      </c>
      <c r="F4549" t="s">
        <v>12</v>
      </c>
      <c r="G4549" t="s">
        <v>24</v>
      </c>
      <c r="H4549">
        <f>11949*(1.01^10)</f>
        <v>13199.129776538486</v>
      </c>
      <c r="I4549">
        <f>55935*(1.01^10)</f>
        <v>61787.038584875736</v>
      </c>
      <c r="J4549" t="s">
        <v>14087</v>
      </c>
      <c r="K4549">
        <f t="shared" si="71"/>
        <v>287.05336447609579</v>
      </c>
    </row>
    <row r="4550" spans="1:11" x14ac:dyDescent="0.2">
      <c r="A4550" t="s">
        <v>72</v>
      </c>
      <c r="B4550" t="s">
        <v>6562</v>
      </c>
      <c r="C4550" t="s">
        <v>14088</v>
      </c>
      <c r="D4550" t="s">
        <v>14089</v>
      </c>
      <c r="E4550" t="s">
        <v>427</v>
      </c>
      <c r="F4550" t="s">
        <v>12</v>
      </c>
      <c r="G4550" t="s">
        <v>12</v>
      </c>
      <c r="H4550">
        <f>20608*(1.01^10)</f>
        <v>22764.052760474107</v>
      </c>
      <c r="I4550">
        <f>94337*(1.01^10)</f>
        <v>104206.73744491683</v>
      </c>
      <c r="J4550" t="s">
        <v>14090</v>
      </c>
      <c r="K4550">
        <f t="shared" si="71"/>
        <v>396.71994895950485</v>
      </c>
    </row>
    <row r="4551" spans="1:11" x14ac:dyDescent="0.2">
      <c r="A4551" t="s">
        <v>72</v>
      </c>
      <c r="B4551" t="s">
        <v>6562</v>
      </c>
      <c r="C4551" t="s">
        <v>14091</v>
      </c>
      <c r="D4551" t="s">
        <v>14092</v>
      </c>
      <c r="E4551" t="s">
        <v>61</v>
      </c>
      <c r="F4551" t="s">
        <v>24</v>
      </c>
      <c r="G4551" t="s">
        <v>24</v>
      </c>
      <c r="H4551">
        <f>9853*(1.01^10)</f>
        <v>10883.841801676601</v>
      </c>
      <c r="I4551">
        <f>42985*(1.01^10)</f>
        <v>47482.182060800638</v>
      </c>
      <c r="J4551" t="s">
        <v>14093</v>
      </c>
      <c r="K4551">
        <f t="shared" si="71"/>
        <v>301.45549273320893</v>
      </c>
    </row>
    <row r="4552" spans="1:11" x14ac:dyDescent="0.2">
      <c r="A4552" t="s">
        <v>72</v>
      </c>
      <c r="B4552" t="s">
        <v>6562</v>
      </c>
      <c r="C4552" t="s">
        <v>14094</v>
      </c>
      <c r="D4552" t="s">
        <v>14095</v>
      </c>
      <c r="E4552" t="s">
        <v>77</v>
      </c>
      <c r="F4552" t="s">
        <v>24</v>
      </c>
      <c r="G4552" t="s">
        <v>11</v>
      </c>
      <c r="H4552">
        <f>33571*(1.01^10)</f>
        <v>37083.269372179551</v>
      </c>
      <c r="I4552">
        <f>154578*(1.01^10)</f>
        <v>170750.2789018132</v>
      </c>
      <c r="J4552" t="s">
        <v>14096</v>
      </c>
      <c r="K4552">
        <f t="shared" si="71"/>
        <v>805.30439513085673</v>
      </c>
    </row>
    <row r="4553" spans="1:11" x14ac:dyDescent="0.2">
      <c r="A4553" t="s">
        <v>72</v>
      </c>
      <c r="B4553" t="s">
        <v>6562</v>
      </c>
      <c r="C4553" t="s">
        <v>14097</v>
      </c>
      <c r="D4553" t="s">
        <v>14098</v>
      </c>
      <c r="E4553" t="s">
        <v>77</v>
      </c>
      <c r="F4553" t="s">
        <v>12</v>
      </c>
      <c r="G4553" t="s">
        <v>11</v>
      </c>
      <c r="H4553">
        <f>24165*(1.01^10)</f>
        <v>26693.193660561763</v>
      </c>
      <c r="I4553">
        <f>97279*(1.01^10)</f>
        <v>107456.53573787659</v>
      </c>
      <c r="J4553" t="s">
        <v>14099</v>
      </c>
      <c r="K4553">
        <f t="shared" si="71"/>
        <v>448.122691625811</v>
      </c>
    </row>
    <row r="4554" spans="1:11" x14ac:dyDescent="0.2">
      <c r="A4554" t="s">
        <v>72</v>
      </c>
      <c r="B4554" t="s">
        <v>6562</v>
      </c>
      <c r="C4554" t="s">
        <v>14100</v>
      </c>
      <c r="D4554" t="s">
        <v>14101</v>
      </c>
      <c r="E4554" t="s">
        <v>356</v>
      </c>
      <c r="F4554" t="s">
        <v>12</v>
      </c>
      <c r="G4554" t="s">
        <v>92</v>
      </c>
      <c r="H4554">
        <f>38332*(1.01^10)</f>
        <v>42342.375311262302</v>
      </c>
      <c r="I4554">
        <f>159191*(1.01^10)</f>
        <v>175845.90076633511</v>
      </c>
      <c r="J4554" t="s">
        <v>14102</v>
      </c>
      <c r="K4554">
        <f t="shared" si="71"/>
        <v>918.68836001955492</v>
      </c>
    </row>
    <row r="4555" spans="1:11" x14ac:dyDescent="0.2">
      <c r="A4555" t="s">
        <v>72</v>
      </c>
      <c r="B4555" t="s">
        <v>6562</v>
      </c>
      <c r="C4555" t="s">
        <v>14103</v>
      </c>
      <c r="D4555" t="s">
        <v>14104</v>
      </c>
      <c r="E4555" t="s">
        <v>92</v>
      </c>
      <c r="F4555" t="s">
        <v>12</v>
      </c>
      <c r="G4555" t="s">
        <v>12</v>
      </c>
      <c r="H4555">
        <f>28066*(1.01^10)</f>
        <v>31002.324571790872</v>
      </c>
      <c r="I4555">
        <f>117110*(1.01^10)</f>
        <v>129362.29710690619</v>
      </c>
      <c r="J4555" t="s">
        <v>14105</v>
      </c>
      <c r="K4555">
        <f t="shared" si="71"/>
        <v>1413.4443283141338</v>
      </c>
    </row>
    <row r="4556" spans="1:11" x14ac:dyDescent="0.2">
      <c r="A4556" t="s">
        <v>72</v>
      </c>
      <c r="B4556" t="s">
        <v>3553</v>
      </c>
      <c r="C4556" t="s">
        <v>14106</v>
      </c>
      <c r="D4556" t="s">
        <v>14107</v>
      </c>
      <c r="E4556" t="s">
        <v>24</v>
      </c>
      <c r="F4556" t="s">
        <v>24</v>
      </c>
      <c r="G4556" t="s">
        <v>12</v>
      </c>
      <c r="H4556">
        <f>57917*(1.01^10)</f>
        <v>63976.399637440743</v>
      </c>
      <c r="I4556">
        <f>250932*(1.01^10)</f>
        <v>277185.03917368443</v>
      </c>
      <c r="J4556" t="s">
        <v>14108</v>
      </c>
      <c r="K4556">
        <f t="shared" si="71"/>
        <v>9634.516481532306</v>
      </c>
    </row>
    <row r="4557" spans="1:11" x14ac:dyDescent="0.2">
      <c r="A4557" t="s">
        <v>72</v>
      </c>
      <c r="B4557" t="s">
        <v>3553</v>
      </c>
      <c r="C4557" t="s">
        <v>14109</v>
      </c>
      <c r="D4557" t="s">
        <v>14110</v>
      </c>
      <c r="E4557" t="s">
        <v>24</v>
      </c>
      <c r="F4557" t="s">
        <v>24</v>
      </c>
      <c r="G4557" t="s">
        <v>24</v>
      </c>
      <c r="H4557">
        <f>14822*(1.01^10)</f>
        <v>16372.709142844877</v>
      </c>
      <c r="I4557">
        <f>59070*(1.01^10)</f>
        <v>65250.028948039864</v>
      </c>
      <c r="J4557" t="s">
        <v>14111</v>
      </c>
      <c r="K4557">
        <f t="shared" si="71"/>
        <v>17540.330362376306</v>
      </c>
    </row>
    <row r="4558" spans="1:11" x14ac:dyDescent="0.2">
      <c r="A4558" t="s">
        <v>72</v>
      </c>
      <c r="B4558" t="s">
        <v>3553</v>
      </c>
      <c r="C4558" t="s">
        <v>14112</v>
      </c>
      <c r="D4558" t="s">
        <v>14113</v>
      </c>
      <c r="E4558" t="s">
        <v>24</v>
      </c>
      <c r="F4558" t="s">
        <v>24</v>
      </c>
      <c r="G4558" t="s">
        <v>24</v>
      </c>
      <c r="H4558">
        <f>31561*(1.01^10)</f>
        <v>34862.978900103029</v>
      </c>
      <c r="I4558">
        <f>135370*(1.01^10)</f>
        <v>149532.69711691479</v>
      </c>
      <c r="J4558" t="s">
        <v>14114</v>
      </c>
      <c r="K4558">
        <f t="shared" si="71"/>
        <v>13186.30486039813</v>
      </c>
    </row>
    <row r="4559" spans="1:11" x14ac:dyDescent="0.2">
      <c r="A4559" t="s">
        <v>72</v>
      </c>
      <c r="B4559" t="s">
        <v>3553</v>
      </c>
      <c r="C4559" t="s">
        <v>14115</v>
      </c>
      <c r="D4559" t="s">
        <v>14116</v>
      </c>
      <c r="E4559" t="s">
        <v>24</v>
      </c>
      <c r="F4559" t="s">
        <v>24</v>
      </c>
      <c r="G4559" t="s">
        <v>12</v>
      </c>
      <c r="H4559">
        <f>50333*(1.01^10)</f>
        <v>55598.945438322167</v>
      </c>
      <c r="I4559">
        <f>217910*(1.01^10)</f>
        <v>240708.20734835562</v>
      </c>
      <c r="J4559" t="s">
        <v>14117</v>
      </c>
      <c r="K4559">
        <f t="shared" si="71"/>
        <v>10552.749116543429</v>
      </c>
    </row>
    <row r="4560" spans="1:11" x14ac:dyDescent="0.2">
      <c r="A4560" t="s">
        <v>72</v>
      </c>
      <c r="B4560" t="s">
        <v>3553</v>
      </c>
      <c r="C4560" t="s">
        <v>14118</v>
      </c>
      <c r="D4560" t="s">
        <v>14119</v>
      </c>
      <c r="E4560" t="s">
        <v>24</v>
      </c>
      <c r="F4560" t="s">
        <v>24</v>
      </c>
      <c r="G4560" t="s">
        <v>24</v>
      </c>
      <c r="H4560">
        <f>41890*(1.01^10)</f>
        <v>46272.620833475368</v>
      </c>
      <c r="I4560">
        <f>172542*(1.01^10)</f>
        <v>190593.7107627001</v>
      </c>
      <c r="J4560" t="s">
        <v>14120</v>
      </c>
      <c r="K4560">
        <f t="shared" si="71"/>
        <v>13911.949690708037</v>
      </c>
    </row>
    <row r="4561" spans="1:11" x14ac:dyDescent="0.2">
      <c r="A4561" t="s">
        <v>72</v>
      </c>
      <c r="B4561" t="s">
        <v>3553</v>
      </c>
      <c r="C4561" t="s">
        <v>14121</v>
      </c>
      <c r="D4561" t="s">
        <v>14122</v>
      </c>
      <c r="E4561" t="s">
        <v>24</v>
      </c>
      <c r="F4561" t="s">
        <v>24</v>
      </c>
      <c r="G4561" t="s">
        <v>12</v>
      </c>
      <c r="H4561">
        <f>81646*(1.01^10)</f>
        <v>90187.978051323225</v>
      </c>
      <c r="I4561">
        <f>347861*(1.01^10)</f>
        <v>384254.9571676671</v>
      </c>
      <c r="J4561" t="s">
        <v>14123</v>
      </c>
      <c r="K4561">
        <f t="shared" si="71"/>
        <v>34964.054337367343</v>
      </c>
    </row>
    <row r="4562" spans="1:11" x14ac:dyDescent="0.2">
      <c r="A4562" t="s">
        <v>72</v>
      </c>
      <c r="B4562" t="s">
        <v>3553</v>
      </c>
      <c r="C4562" t="s">
        <v>14124</v>
      </c>
      <c r="D4562" t="s">
        <v>14125</v>
      </c>
      <c r="E4562" t="s">
        <v>24</v>
      </c>
      <c r="F4562" t="s">
        <v>24</v>
      </c>
      <c r="G4562" t="s">
        <v>24</v>
      </c>
      <c r="H4562">
        <f>36168*(1.01^10)</f>
        <v>39951.973031872454</v>
      </c>
      <c r="I4562">
        <f>153558*(1.01^10)</f>
        <v>169623.56433389377</v>
      </c>
      <c r="J4562" t="s">
        <v>14126</v>
      </c>
      <c r="K4562">
        <f t="shared" si="71"/>
        <v>13098.344736208013</v>
      </c>
    </row>
    <row r="4563" spans="1:11" x14ac:dyDescent="0.2">
      <c r="A4563" t="s">
        <v>72</v>
      </c>
      <c r="B4563" t="s">
        <v>3553</v>
      </c>
      <c r="C4563" t="s">
        <v>14127</v>
      </c>
      <c r="D4563" t="s">
        <v>14128</v>
      </c>
      <c r="E4563" t="s">
        <v>24</v>
      </c>
      <c r="F4563" t="s">
        <v>24</v>
      </c>
      <c r="G4563" t="s">
        <v>24</v>
      </c>
      <c r="H4563">
        <f>24045*(1.01^10)</f>
        <v>26560.639005512417</v>
      </c>
      <c r="I4563">
        <f>108062*(1.01^10)</f>
        <v>119367.67611618561</v>
      </c>
      <c r="J4563" t="s">
        <v>14129</v>
      </c>
      <c r="K4563">
        <f t="shared" si="71"/>
        <v>16907.602849318075</v>
      </c>
    </row>
    <row r="4564" spans="1:11" x14ac:dyDescent="0.2">
      <c r="A4564" t="s">
        <v>72</v>
      </c>
      <c r="B4564" t="s">
        <v>3553</v>
      </c>
      <c r="C4564" t="s">
        <v>14130</v>
      </c>
      <c r="D4564" t="s">
        <v>14131</v>
      </c>
      <c r="E4564" t="s">
        <v>24</v>
      </c>
      <c r="F4564" t="s">
        <v>24</v>
      </c>
      <c r="G4564" t="s">
        <v>24</v>
      </c>
      <c r="H4564">
        <f>38324*(1.01^10)</f>
        <v>42333.538334259014</v>
      </c>
      <c r="I4564">
        <f>189378*(1.01^10)</f>
        <v>209191.12886612312</v>
      </c>
      <c r="J4564" t="s">
        <v>14132</v>
      </c>
      <c r="K4564">
        <f t="shared" si="71"/>
        <v>32432.733157538467</v>
      </c>
    </row>
    <row r="4565" spans="1:11" x14ac:dyDescent="0.2">
      <c r="A4565" t="s">
        <v>72</v>
      </c>
      <c r="B4565" t="s">
        <v>3553</v>
      </c>
      <c r="C4565" t="s">
        <v>14133</v>
      </c>
      <c r="D4565" t="s">
        <v>14134</v>
      </c>
      <c r="E4565" t="s">
        <v>24</v>
      </c>
      <c r="F4565" t="s">
        <v>24</v>
      </c>
      <c r="G4565" t="s">
        <v>24</v>
      </c>
      <c r="H4565">
        <f>64693*(1.01^10)</f>
        <v>71461.319159227074</v>
      </c>
      <c r="I4565">
        <f>271385*(1.01^10)</f>
        <v>299777.87550471979</v>
      </c>
      <c r="J4565" t="s">
        <v>14135</v>
      </c>
      <c r="K4565">
        <f t="shared" si="71"/>
        <v>14309.206468005719</v>
      </c>
    </row>
    <row r="4566" spans="1:11" x14ac:dyDescent="0.2">
      <c r="A4566" t="s">
        <v>72</v>
      </c>
      <c r="B4566" t="s">
        <v>3553</v>
      </c>
      <c r="C4566" t="s">
        <v>14136</v>
      </c>
      <c r="D4566" t="s">
        <v>14137</v>
      </c>
      <c r="E4566" t="s">
        <v>24</v>
      </c>
      <c r="F4566" t="s">
        <v>24</v>
      </c>
      <c r="G4566" t="s">
        <v>24</v>
      </c>
      <c r="H4566">
        <f>92515*(1.01^10)</f>
        <v>102194.11593241761</v>
      </c>
      <c r="I4566">
        <f>442229*(1.01^10)</f>
        <v>488495.93789847166</v>
      </c>
      <c r="J4566" t="s">
        <v>318</v>
      </c>
      <c r="K4566">
        <f t="shared" si="71"/>
        <v>34892.566992747976</v>
      </c>
    </row>
    <row r="4567" spans="1:11" x14ac:dyDescent="0.2">
      <c r="A4567" t="s">
        <v>72</v>
      </c>
      <c r="B4567" t="s">
        <v>3553</v>
      </c>
      <c r="C4567" t="s">
        <v>14138</v>
      </c>
      <c r="D4567" t="s">
        <v>14139</v>
      </c>
      <c r="E4567" t="s">
        <v>24</v>
      </c>
      <c r="F4567" t="s">
        <v>24</v>
      </c>
      <c r="G4567" t="s">
        <v>24</v>
      </c>
      <c r="H4567">
        <f>44155*(1.01^10)</f>
        <v>48774.589947531749</v>
      </c>
      <c r="I4567">
        <f>213359*(1.01^10)</f>
        <v>235681.07205560923</v>
      </c>
      <c r="J4567" t="s">
        <v>14140</v>
      </c>
      <c r="K4567">
        <f t="shared" si="71"/>
        <v>23830.239843843196</v>
      </c>
    </row>
    <row r="4568" spans="1:11" x14ac:dyDescent="0.2">
      <c r="A4568" t="s">
        <v>72</v>
      </c>
      <c r="B4568" t="s">
        <v>3553</v>
      </c>
      <c r="C4568" t="s">
        <v>14141</v>
      </c>
      <c r="D4568" t="s">
        <v>14142</v>
      </c>
      <c r="E4568" t="s">
        <v>24</v>
      </c>
      <c r="F4568" t="s">
        <v>24</v>
      </c>
      <c r="G4568" t="s">
        <v>24</v>
      </c>
      <c r="H4568">
        <f>83740*(1.01^10)</f>
        <v>92501.056781934283</v>
      </c>
      <c r="I4568">
        <f>468158*(1.01^10)</f>
        <v>517137.68498825881</v>
      </c>
      <c r="J4568" t="s">
        <v>14143</v>
      </c>
      <c r="K4568">
        <f t="shared" si="71"/>
        <v>62531.763601966006</v>
      </c>
    </row>
    <row r="4569" spans="1:11" x14ac:dyDescent="0.2">
      <c r="A4569" t="s">
        <v>72</v>
      </c>
      <c r="B4569" t="s">
        <v>3553</v>
      </c>
      <c r="C4569" t="s">
        <v>14144</v>
      </c>
      <c r="D4569" t="s">
        <v>14145</v>
      </c>
      <c r="E4569" t="s">
        <v>24</v>
      </c>
      <c r="F4569" t="s">
        <v>24</v>
      </c>
      <c r="G4569" t="s">
        <v>24</v>
      </c>
      <c r="H4569">
        <f>66727*(1.01^10)</f>
        <v>73708.120562313459</v>
      </c>
      <c r="I4569">
        <f>330193*(1.01^10)</f>
        <v>364738.49345590192</v>
      </c>
      <c r="J4569" t="s">
        <v>14146</v>
      </c>
      <c r="K4569">
        <f t="shared" si="71"/>
        <v>12186.384679448778</v>
      </c>
    </row>
    <row r="4570" spans="1:11" x14ac:dyDescent="0.2">
      <c r="A4570" t="s">
        <v>72</v>
      </c>
      <c r="B4570" t="s">
        <v>3553</v>
      </c>
      <c r="C4570" t="s">
        <v>14147</v>
      </c>
      <c r="D4570" t="s">
        <v>14148</v>
      </c>
      <c r="E4570" t="s">
        <v>24</v>
      </c>
      <c r="F4570" t="s">
        <v>24</v>
      </c>
      <c r="G4570" t="s">
        <v>24</v>
      </c>
      <c r="H4570">
        <f>46053*(1.01^10)</f>
        <v>50871.162741562213</v>
      </c>
      <c r="I4570">
        <f>237594*(1.01^10)</f>
        <v>262451.58926494978</v>
      </c>
      <c r="J4570" t="s">
        <v>14149</v>
      </c>
      <c r="K4570">
        <f t="shared" si="71"/>
        <v>59648.088469306764</v>
      </c>
    </row>
    <row r="4571" spans="1:11" x14ac:dyDescent="0.2">
      <c r="A4571" t="s">
        <v>72</v>
      </c>
      <c r="B4571" t="s">
        <v>3553</v>
      </c>
      <c r="C4571" t="s">
        <v>14150</v>
      </c>
      <c r="D4571" t="s">
        <v>14151</v>
      </c>
      <c r="E4571" t="s">
        <v>24</v>
      </c>
      <c r="F4571" t="s">
        <v>24</v>
      </c>
      <c r="G4571" t="s">
        <v>24</v>
      </c>
      <c r="H4571">
        <f>74462*(1.01^10)</f>
        <v>82252.372702369132</v>
      </c>
      <c r="I4571">
        <f>345722*(1.01^10)</f>
        <v>381892.17044141254</v>
      </c>
      <c r="J4571" t="s">
        <v>14152</v>
      </c>
      <c r="K4571">
        <f t="shared" si="71"/>
        <v>32446.233682363003</v>
      </c>
    </row>
    <row r="4572" spans="1:11" x14ac:dyDescent="0.2">
      <c r="A4572" t="s">
        <v>72</v>
      </c>
      <c r="B4572" t="s">
        <v>14153</v>
      </c>
      <c r="C4572" t="s">
        <v>14154</v>
      </c>
      <c r="D4572" t="s">
        <v>14155</v>
      </c>
      <c r="E4572" t="s">
        <v>56</v>
      </c>
      <c r="F4572" t="s">
        <v>24</v>
      </c>
      <c r="G4572" t="s">
        <v>24</v>
      </c>
      <c r="H4572">
        <f>10961*(1.01^10)</f>
        <v>12107.763116632215</v>
      </c>
      <c r="I4572">
        <f>51090*(1.01^10)</f>
        <v>56435.14438725845</v>
      </c>
      <c r="J4572" t="s">
        <v>14156</v>
      </c>
      <c r="K4572">
        <f t="shared" si="71"/>
        <v>258.72744846041786</v>
      </c>
    </row>
    <row r="4573" spans="1:11" x14ac:dyDescent="0.2">
      <c r="A4573" t="s">
        <v>72</v>
      </c>
      <c r="B4573" t="s">
        <v>14153</v>
      </c>
      <c r="C4573" t="s">
        <v>14157</v>
      </c>
      <c r="D4573" t="s">
        <v>14158</v>
      </c>
      <c r="E4573" t="s">
        <v>61</v>
      </c>
      <c r="F4573" t="s">
        <v>24</v>
      </c>
      <c r="G4573" t="s">
        <v>24</v>
      </c>
      <c r="H4573">
        <f>9598*(1.01^10)</f>
        <v>10602.163159696744</v>
      </c>
      <c r="I4573">
        <f>43261*(1.01^10)</f>
        <v>47787.057767414131</v>
      </c>
      <c r="J4573" t="s">
        <v>14159</v>
      </c>
      <c r="K4573">
        <f t="shared" si="71"/>
        <v>234.0437739612799</v>
      </c>
    </row>
    <row r="4574" spans="1:11" x14ac:dyDescent="0.2">
      <c r="A4574" t="s">
        <v>72</v>
      </c>
      <c r="B4574" t="s">
        <v>14153</v>
      </c>
      <c r="C4574" t="s">
        <v>14160</v>
      </c>
      <c r="D4574" t="s">
        <v>14161</v>
      </c>
      <c r="E4574" t="s">
        <v>796</v>
      </c>
      <c r="F4574" t="s">
        <v>24</v>
      </c>
      <c r="G4574" t="s">
        <v>24</v>
      </c>
      <c r="H4574">
        <f>9320*(1.01^10)</f>
        <v>10295.078208832429</v>
      </c>
      <c r="I4574">
        <f>41283*(1.01^10)</f>
        <v>45602.115203350768</v>
      </c>
      <c r="J4574" t="s">
        <v>14162</v>
      </c>
      <c r="K4574">
        <f t="shared" si="71"/>
        <v>329.42331935677726</v>
      </c>
    </row>
    <row r="4575" spans="1:11" x14ac:dyDescent="0.2">
      <c r="A4575" t="s">
        <v>72</v>
      </c>
      <c r="B4575" t="s">
        <v>14153</v>
      </c>
      <c r="C4575" t="s">
        <v>14163</v>
      </c>
      <c r="D4575" t="s">
        <v>14164</v>
      </c>
      <c r="E4575" t="s">
        <v>77</v>
      </c>
      <c r="F4575" t="s">
        <v>12</v>
      </c>
      <c r="G4575" t="s">
        <v>24</v>
      </c>
      <c r="H4575">
        <f>15379*(1.01^10)</f>
        <v>16987.983666698918</v>
      </c>
      <c r="I4575">
        <f>65428*(1.01^10)</f>
        <v>72273.2164214043</v>
      </c>
      <c r="J4575" t="s">
        <v>14165</v>
      </c>
      <c r="K4575">
        <f t="shared" si="71"/>
        <v>335.73100689310326</v>
      </c>
    </row>
    <row r="4576" spans="1:11" x14ac:dyDescent="0.2">
      <c r="A4576" t="s">
        <v>72</v>
      </c>
      <c r="B4576" t="s">
        <v>14153</v>
      </c>
      <c r="C4576" t="s">
        <v>14166</v>
      </c>
      <c r="D4576" t="s">
        <v>14167</v>
      </c>
      <c r="E4576" t="s">
        <v>24</v>
      </c>
      <c r="F4576" t="s">
        <v>24</v>
      </c>
      <c r="G4576" t="s">
        <v>24</v>
      </c>
      <c r="H4576">
        <f>74614*(1.01^10)</f>
        <v>82420.275265431628</v>
      </c>
      <c r="I4576">
        <f>309320*(1.01^10)</f>
        <v>341681.71583219385</v>
      </c>
      <c r="J4576" t="s">
        <v>148</v>
      </c>
      <c r="K4576">
        <f t="shared" si="71"/>
        <v>3486.548120736672</v>
      </c>
    </row>
    <row r="4577" spans="1:11" x14ac:dyDescent="0.2">
      <c r="A4577" t="s">
        <v>72</v>
      </c>
      <c r="B4577" t="s">
        <v>14153</v>
      </c>
      <c r="C4577" t="s">
        <v>14168</v>
      </c>
      <c r="D4577" t="s">
        <v>14169</v>
      </c>
      <c r="E4577" t="s">
        <v>24</v>
      </c>
      <c r="F4577" t="s">
        <v>24</v>
      </c>
      <c r="G4577" t="s">
        <v>24</v>
      </c>
      <c r="H4577">
        <f>139848*(1.01^10)</f>
        <v>154479.19499450616</v>
      </c>
      <c r="I4577">
        <f>567996*(1.01^10)</f>
        <v>627420.94874506269</v>
      </c>
      <c r="J4577" t="s">
        <v>777</v>
      </c>
      <c r="K4577">
        <f t="shared" si="71"/>
        <v>8714.1798436814261</v>
      </c>
    </row>
    <row r="4578" spans="1:11" x14ac:dyDescent="0.2">
      <c r="A4578" t="s">
        <v>72</v>
      </c>
      <c r="B4578" t="s">
        <v>14153</v>
      </c>
      <c r="C4578" t="s">
        <v>14170</v>
      </c>
      <c r="D4578" t="s">
        <v>14171</v>
      </c>
      <c r="E4578" t="s">
        <v>17</v>
      </c>
      <c r="F4578" t="s">
        <v>24</v>
      </c>
      <c r="G4578" t="s">
        <v>11</v>
      </c>
      <c r="H4578">
        <f>122913*(1.01^10)</f>
        <v>135772.41930066742</v>
      </c>
      <c r="I4578">
        <f>495683*(1.01^10)</f>
        <v>547542.40899020224</v>
      </c>
      <c r="J4578" t="s">
        <v>14172</v>
      </c>
      <c r="K4578">
        <f t="shared" si="71"/>
        <v>3733.992469938863</v>
      </c>
    </row>
    <row r="4579" spans="1:11" x14ac:dyDescent="0.2">
      <c r="A4579" t="s">
        <v>72</v>
      </c>
      <c r="B4579" t="s">
        <v>14153</v>
      </c>
      <c r="C4579" t="s">
        <v>14173</v>
      </c>
      <c r="D4579" t="s">
        <v>14174</v>
      </c>
      <c r="E4579" t="s">
        <v>77</v>
      </c>
      <c r="F4579" t="s">
        <v>11</v>
      </c>
      <c r="G4579" t="s">
        <v>12</v>
      </c>
      <c r="H4579">
        <f>21890*(1.01^10)</f>
        <v>24180.178325251272</v>
      </c>
      <c r="I4579">
        <f>93425*(1.01^10)</f>
        <v>103199.3220665418</v>
      </c>
      <c r="J4579" t="s">
        <v>14175</v>
      </c>
      <c r="K4579">
        <f t="shared" si="71"/>
        <v>564.3007549570309</v>
      </c>
    </row>
    <row r="4580" spans="1:11" x14ac:dyDescent="0.2">
      <c r="A4580" t="s">
        <v>72</v>
      </c>
      <c r="B4580" t="s">
        <v>14153</v>
      </c>
      <c r="C4580" t="s">
        <v>14176</v>
      </c>
      <c r="D4580" t="s">
        <v>14177</v>
      </c>
      <c r="E4580" t="s">
        <v>313</v>
      </c>
      <c r="F4580" t="s">
        <v>12</v>
      </c>
      <c r="G4580" t="s">
        <v>12</v>
      </c>
      <c r="H4580">
        <f>27919*(1.01^10)</f>
        <v>30839.945119355427</v>
      </c>
      <c r="I4580">
        <f>118895*(1.01^10)</f>
        <v>131334.04760076519</v>
      </c>
      <c r="J4580" t="s">
        <v>6453</v>
      </c>
      <c r="K4580">
        <f t="shared" si="71"/>
        <v>572.88570382013165</v>
      </c>
    </row>
    <row r="4581" spans="1:11" x14ac:dyDescent="0.2">
      <c r="A4581" t="s">
        <v>72</v>
      </c>
      <c r="B4581" t="s">
        <v>14153</v>
      </c>
      <c r="C4581" t="s">
        <v>14178</v>
      </c>
      <c r="D4581" t="s">
        <v>14179</v>
      </c>
      <c r="E4581" t="s">
        <v>24</v>
      </c>
      <c r="F4581" t="s">
        <v>24</v>
      </c>
      <c r="G4581" t="s">
        <v>24</v>
      </c>
      <c r="H4581">
        <f>99765*(1.01^10)</f>
        <v>110202.62634164884</v>
      </c>
      <c r="I4581">
        <f>413571*(1.01^10)</f>
        <v>456839.67702843738</v>
      </c>
      <c r="J4581" t="s">
        <v>1545</v>
      </c>
      <c r="K4581">
        <f t="shared" si="71"/>
        <v>7251.4234448958314</v>
      </c>
    </row>
    <row r="4582" spans="1:11" x14ac:dyDescent="0.2">
      <c r="A4582" t="s">
        <v>72</v>
      </c>
      <c r="B4582" t="s">
        <v>14153</v>
      </c>
      <c r="C4582" t="s">
        <v>14180</v>
      </c>
      <c r="D4582" t="s">
        <v>14181</v>
      </c>
      <c r="E4582" t="s">
        <v>382</v>
      </c>
      <c r="F4582" t="s">
        <v>24</v>
      </c>
      <c r="G4582" t="s">
        <v>12</v>
      </c>
      <c r="H4582">
        <f>43314*(1.01^10)</f>
        <v>47845.602740060924</v>
      </c>
      <c r="I4582">
        <f>177288*(1.01^10)</f>
        <v>195836.24736990166</v>
      </c>
      <c r="J4582" t="s">
        <v>14182</v>
      </c>
      <c r="K4582">
        <f t="shared" si="71"/>
        <v>1414.1729755791323</v>
      </c>
    </row>
    <row r="4583" spans="1:11" x14ac:dyDescent="0.2">
      <c r="A4583" t="s">
        <v>72</v>
      </c>
      <c r="B4583" t="s">
        <v>14153</v>
      </c>
      <c r="C4583" t="s">
        <v>14183</v>
      </c>
      <c r="D4583" t="s">
        <v>14184</v>
      </c>
      <c r="E4583" t="s">
        <v>274</v>
      </c>
      <c r="F4583" t="s">
        <v>17</v>
      </c>
      <c r="G4583" t="s">
        <v>5</v>
      </c>
      <c r="H4583">
        <f>44004*(1.01^10)</f>
        <v>48607.792006594653</v>
      </c>
      <c r="I4583">
        <f>188380*(1.01^10)</f>
        <v>208088.71598496276</v>
      </c>
      <c r="J4583" t="s">
        <v>14185</v>
      </c>
      <c r="K4583">
        <f t="shared" si="71"/>
        <v>1239.8555457413156</v>
      </c>
    </row>
    <row r="4584" spans="1:11" x14ac:dyDescent="0.2">
      <c r="A4584" t="s">
        <v>72</v>
      </c>
      <c r="B4584" t="s">
        <v>14153</v>
      </c>
      <c r="C4584" t="s">
        <v>14186</v>
      </c>
      <c r="D4584" t="s">
        <v>14187</v>
      </c>
      <c r="E4584" t="s">
        <v>24</v>
      </c>
      <c r="F4584" t="s">
        <v>24</v>
      </c>
      <c r="G4584" t="s">
        <v>24</v>
      </c>
      <c r="H4584">
        <f>94044*(1.01^10)</f>
        <v>103883.08316217134</v>
      </c>
      <c r="I4584">
        <f>384835*(1.01^10)</f>
        <v>425097.255632621</v>
      </c>
      <c r="J4584" t="s">
        <v>14188</v>
      </c>
      <c r="K4584">
        <f t="shared" si="71"/>
        <v>21799.859263211332</v>
      </c>
    </row>
    <row r="4585" spans="1:11" x14ac:dyDescent="0.2">
      <c r="A4585" t="s">
        <v>72</v>
      </c>
      <c r="B4585" t="s">
        <v>14153</v>
      </c>
      <c r="C4585" t="s">
        <v>14189</v>
      </c>
      <c r="D4585" t="s">
        <v>14190</v>
      </c>
      <c r="E4585" t="s">
        <v>422</v>
      </c>
      <c r="F4585" t="s">
        <v>5</v>
      </c>
      <c r="G4585" t="s">
        <v>17</v>
      </c>
      <c r="H4585">
        <f>54317*(1.01^10)</f>
        <v>59999.759985960409</v>
      </c>
      <c r="I4585">
        <f>227195*(1.01^10)</f>
        <v>250964.62378279868</v>
      </c>
      <c r="J4585" t="s">
        <v>14191</v>
      </c>
      <c r="K4585">
        <f t="shared" si="71"/>
        <v>905.49973128392821</v>
      </c>
    </row>
    <row r="4586" spans="1:11" x14ac:dyDescent="0.2">
      <c r="A4586" t="s">
        <v>72</v>
      </c>
      <c r="B4586" t="s">
        <v>14153</v>
      </c>
      <c r="C4586" t="s">
        <v>14192</v>
      </c>
      <c r="D4586" t="s">
        <v>14193</v>
      </c>
      <c r="E4586" t="s">
        <v>24</v>
      </c>
      <c r="F4586" t="s">
        <v>12</v>
      </c>
      <c r="G4586" t="s">
        <v>5</v>
      </c>
      <c r="H4586">
        <f>127633*(1.01^10)</f>
        <v>140986.2357326083</v>
      </c>
      <c r="I4586">
        <f>549004*(1.01^10)</f>
        <v>606441.96533925307</v>
      </c>
      <c r="J4586" t="s">
        <v>14194</v>
      </c>
      <c r="K4586">
        <f t="shared" si="71"/>
        <v>3320.0589364899433</v>
      </c>
    </row>
    <row r="4587" spans="1:11" x14ac:dyDescent="0.2">
      <c r="A4587" t="s">
        <v>72</v>
      </c>
      <c r="B4587" t="s">
        <v>14153</v>
      </c>
      <c r="C4587" t="s">
        <v>14195</v>
      </c>
      <c r="D4587" t="s">
        <v>14196</v>
      </c>
      <c r="E4587" t="s">
        <v>382</v>
      </c>
      <c r="F4587" t="s">
        <v>5</v>
      </c>
      <c r="G4587" t="s">
        <v>11</v>
      </c>
      <c r="H4587">
        <f>65464*(1.01^10)</f>
        <v>72312.98281791911</v>
      </c>
      <c r="I4587">
        <f>307175*(1.01^10)</f>
        <v>339312.30137318681</v>
      </c>
      <c r="J4587" t="s">
        <v>14197</v>
      </c>
      <c r="K4587">
        <f t="shared" si="71"/>
        <v>2192.3221936087994</v>
      </c>
    </row>
    <row r="4588" spans="1:11" x14ac:dyDescent="0.2">
      <c r="A4588" t="s">
        <v>72</v>
      </c>
      <c r="B4588" t="s">
        <v>14153</v>
      </c>
      <c r="C4588" t="s">
        <v>14198</v>
      </c>
      <c r="D4588" t="s">
        <v>14199</v>
      </c>
      <c r="E4588" t="s">
        <v>427</v>
      </c>
      <c r="F4588" t="s">
        <v>24</v>
      </c>
      <c r="G4588" t="s">
        <v>24</v>
      </c>
      <c r="H4588">
        <f>12714*(1.01^10)</f>
        <v>14044.165702478058</v>
      </c>
      <c r="I4588">
        <f>56205*(1.01^10)</f>
        <v>62085.286558736763</v>
      </c>
      <c r="J4588" t="s">
        <v>14200</v>
      </c>
      <c r="K4588">
        <f t="shared" si="71"/>
        <v>305.66035340008756</v>
      </c>
    </row>
    <row r="4589" spans="1:11" x14ac:dyDescent="0.2">
      <c r="A4589" t="s">
        <v>72</v>
      </c>
      <c r="B4589" t="s">
        <v>14153</v>
      </c>
      <c r="C4589" t="s">
        <v>14201</v>
      </c>
      <c r="D4589" t="s">
        <v>14202</v>
      </c>
      <c r="E4589" t="s">
        <v>72</v>
      </c>
      <c r="F4589" t="s">
        <v>24</v>
      </c>
      <c r="G4589" t="s">
        <v>24</v>
      </c>
      <c r="H4589">
        <f>13196*(1.01^10)</f>
        <v>14576.593566926258</v>
      </c>
      <c r="I4589">
        <f>58166*(1.01^10)</f>
        <v>64251.450546668137</v>
      </c>
      <c r="J4589" t="s">
        <v>14203</v>
      </c>
      <c r="K4589">
        <f t="shared" si="71"/>
        <v>230.7377683779491</v>
      </c>
    </row>
    <row r="4590" spans="1:11" x14ac:dyDescent="0.2">
      <c r="A4590" t="s">
        <v>72</v>
      </c>
      <c r="B4590" t="s">
        <v>14153</v>
      </c>
      <c r="C4590" t="s">
        <v>14204</v>
      </c>
      <c r="D4590" t="s">
        <v>14205</v>
      </c>
      <c r="E4590" t="s">
        <v>77</v>
      </c>
      <c r="F4590" t="s">
        <v>17</v>
      </c>
      <c r="G4590" t="s">
        <v>12</v>
      </c>
      <c r="H4590">
        <f>18199*(1.01^10)</f>
        <v>20103.018060358514</v>
      </c>
      <c r="I4590">
        <f>85410*(1.01^10)</f>
        <v>94345.775731371003</v>
      </c>
      <c r="J4590" t="s">
        <v>14206</v>
      </c>
      <c r="K4590">
        <f t="shared" si="71"/>
        <v>440.37117871928928</v>
      </c>
    </row>
    <row r="4591" spans="1:11" x14ac:dyDescent="0.2">
      <c r="A4591" t="s">
        <v>72</v>
      </c>
      <c r="B4591" t="s">
        <v>14153</v>
      </c>
      <c r="C4591" t="s">
        <v>14207</v>
      </c>
      <c r="D4591" t="s">
        <v>13292</v>
      </c>
      <c r="E4591" t="s">
        <v>47</v>
      </c>
      <c r="F4591" t="s">
        <v>12</v>
      </c>
      <c r="G4591" t="s">
        <v>24</v>
      </c>
      <c r="H4591">
        <f>9609*(1.01^10)</f>
        <v>10614.314003076266</v>
      </c>
      <c r="I4591">
        <f>44900*(1.01^10)</f>
        <v>49597.533430963093</v>
      </c>
      <c r="J4591" t="s">
        <v>14208</v>
      </c>
      <c r="K4591">
        <f t="shared" si="71"/>
        <v>230.51465621380876</v>
      </c>
    </row>
    <row r="4592" spans="1:11" x14ac:dyDescent="0.2">
      <c r="A4592" t="s">
        <v>72</v>
      </c>
      <c r="B4592" t="s">
        <v>14153</v>
      </c>
      <c r="C4592" t="s">
        <v>14209</v>
      </c>
      <c r="D4592" t="s">
        <v>14210</v>
      </c>
      <c r="E4592" t="s">
        <v>726</v>
      </c>
      <c r="F4592" t="s">
        <v>17</v>
      </c>
      <c r="G4592" t="s">
        <v>24</v>
      </c>
      <c r="H4592">
        <f>7646*(1.01^10)</f>
        <v>8445.9407708940707</v>
      </c>
      <c r="I4592">
        <f>33159*(1.01^10)</f>
        <v>36628.165056510137</v>
      </c>
      <c r="J4592" t="s">
        <v>14211</v>
      </c>
      <c r="K4592">
        <f t="shared" si="71"/>
        <v>254.0975723656617</v>
      </c>
    </row>
    <row r="4593" spans="1:11" x14ac:dyDescent="0.2">
      <c r="A4593" t="s">
        <v>72</v>
      </c>
      <c r="B4593" t="s">
        <v>14153</v>
      </c>
      <c r="C4593" t="s">
        <v>14212</v>
      </c>
      <c r="D4593" t="s">
        <v>14213</v>
      </c>
      <c r="E4593" t="s">
        <v>220</v>
      </c>
      <c r="F4593" t="s">
        <v>92</v>
      </c>
      <c r="G4593" t="s">
        <v>24</v>
      </c>
      <c r="H4593">
        <f>11110*(1.01^10)</f>
        <v>12272.351813318484</v>
      </c>
      <c r="I4593">
        <f>51893*(1.01^10)</f>
        <v>57322.155953963651</v>
      </c>
      <c r="J4593" t="s">
        <v>14214</v>
      </c>
      <c r="K4593">
        <f t="shared" si="71"/>
        <v>194.31898014835639</v>
      </c>
    </row>
    <row r="4594" spans="1:11" x14ac:dyDescent="0.2">
      <c r="A4594" t="s">
        <v>72</v>
      </c>
      <c r="B4594" t="s">
        <v>14153</v>
      </c>
      <c r="C4594" t="s">
        <v>14215</v>
      </c>
      <c r="D4594" t="s">
        <v>13618</v>
      </c>
      <c r="E4594" t="s">
        <v>520</v>
      </c>
      <c r="F4594" t="s">
        <v>12</v>
      </c>
      <c r="G4594" t="s">
        <v>12</v>
      </c>
      <c r="H4594">
        <f>25273*(1.01^10)</f>
        <v>27917.114975517379</v>
      </c>
      <c r="I4594">
        <f>118776*(1.01^10)</f>
        <v>131202.59756784127</v>
      </c>
      <c r="J4594" t="s">
        <v>14216</v>
      </c>
      <c r="K4594">
        <f t="shared" si="71"/>
        <v>566.09697904751738</v>
      </c>
    </row>
    <row r="4595" spans="1:11" x14ac:dyDescent="0.2">
      <c r="A4595" t="s">
        <v>72</v>
      </c>
      <c r="B4595" t="s">
        <v>14153</v>
      </c>
      <c r="C4595" t="s">
        <v>14217</v>
      </c>
      <c r="D4595" t="s">
        <v>14218</v>
      </c>
      <c r="E4595" t="s">
        <v>56</v>
      </c>
      <c r="F4595" t="s">
        <v>17</v>
      </c>
      <c r="G4595" t="s">
        <v>12</v>
      </c>
      <c r="H4595">
        <f>8800*(1.01^10)</f>
        <v>9720.6747036186025</v>
      </c>
      <c r="I4595">
        <f>43562*(1.01^10)</f>
        <v>48119.549027162902</v>
      </c>
      <c r="J4595" t="s">
        <v>14219</v>
      </c>
      <c r="K4595">
        <f t="shared" si="71"/>
        <v>223.73121833754178</v>
      </c>
    </row>
    <row r="4596" spans="1:11" x14ac:dyDescent="0.2">
      <c r="A4596" t="s">
        <v>72</v>
      </c>
      <c r="B4596" t="s">
        <v>14153</v>
      </c>
      <c r="C4596" t="s">
        <v>14220</v>
      </c>
      <c r="D4596" t="s">
        <v>14221</v>
      </c>
      <c r="E4596" t="s">
        <v>97</v>
      </c>
      <c r="F4596" t="s">
        <v>12</v>
      </c>
      <c r="G4596" t="s">
        <v>24</v>
      </c>
      <c r="H4596">
        <f>9514*(1.01^10)</f>
        <v>10509.374901162202</v>
      </c>
      <c r="I4596">
        <f>45295*(1.01^10)</f>
        <v>50033.859170500516</v>
      </c>
      <c r="J4596" t="s">
        <v>14222</v>
      </c>
      <c r="K4596">
        <f t="shared" si="71"/>
        <v>229.5845807931112</v>
      </c>
    </row>
    <row r="4597" spans="1:11" x14ac:dyDescent="0.2">
      <c r="A4597" t="s">
        <v>72</v>
      </c>
      <c r="B4597" t="s">
        <v>14153</v>
      </c>
      <c r="C4597" t="s">
        <v>14223</v>
      </c>
      <c r="D4597" t="s">
        <v>14224</v>
      </c>
      <c r="E4597" t="s">
        <v>56</v>
      </c>
      <c r="F4597" t="s">
        <v>24</v>
      </c>
      <c r="G4597" t="s">
        <v>24</v>
      </c>
      <c r="H4597">
        <f>9493*(1.01^10)</f>
        <v>10486.177836528566</v>
      </c>
      <c r="I4597">
        <f>48224*(1.01^10)</f>
        <v>53269.297375829941</v>
      </c>
      <c r="J4597" t="s">
        <v>14225</v>
      </c>
      <c r="K4597">
        <f t="shared" si="71"/>
        <v>311.90006122628586</v>
      </c>
    </row>
    <row r="4598" spans="1:11" x14ac:dyDescent="0.2">
      <c r="A4598" t="s">
        <v>72</v>
      </c>
      <c r="B4598" t="s">
        <v>14153</v>
      </c>
      <c r="C4598" t="s">
        <v>14226</v>
      </c>
      <c r="D4598" t="s">
        <v>14227</v>
      </c>
      <c r="E4598" t="s">
        <v>56</v>
      </c>
      <c r="F4598" t="s">
        <v>12</v>
      </c>
      <c r="G4598" t="s">
        <v>24</v>
      </c>
      <c r="H4598">
        <f>13985*(1.01^10)</f>
        <v>15448.140423875699</v>
      </c>
      <c r="I4598">
        <f>70387*(1.01^10)</f>
        <v>77751.037541318467</v>
      </c>
      <c r="J4598" t="s">
        <v>14228</v>
      </c>
      <c r="K4598">
        <f t="shared" si="71"/>
        <v>331.14439694196824</v>
      </c>
    </row>
    <row r="4599" spans="1:11" x14ac:dyDescent="0.2">
      <c r="A4599" t="s">
        <v>72</v>
      </c>
      <c r="B4599" t="s">
        <v>14153</v>
      </c>
      <c r="C4599" t="s">
        <v>14229</v>
      </c>
      <c r="D4599" t="s">
        <v>14230</v>
      </c>
      <c r="E4599" t="s">
        <v>1656</v>
      </c>
      <c r="F4599" t="s">
        <v>24</v>
      </c>
      <c r="G4599" t="s">
        <v>24</v>
      </c>
      <c r="H4599">
        <f>13966*(1.01^10)</f>
        <v>15427.152603492885</v>
      </c>
      <c r="I4599">
        <f>70281*(1.01^10)</f>
        <v>77633.947596024882</v>
      </c>
      <c r="J4599" t="s">
        <v>14231</v>
      </c>
      <c r="K4599">
        <f t="shared" si="71"/>
        <v>281.21613954520512</v>
      </c>
    </row>
    <row r="4600" spans="1:11" x14ac:dyDescent="0.2">
      <c r="A4600" t="s">
        <v>72</v>
      </c>
      <c r="B4600" t="s">
        <v>14153</v>
      </c>
      <c r="C4600" t="s">
        <v>14232</v>
      </c>
      <c r="D4600" t="s">
        <v>14233</v>
      </c>
      <c r="E4600" t="s">
        <v>1506</v>
      </c>
      <c r="F4600" t="s">
        <v>17</v>
      </c>
      <c r="G4600" t="s">
        <v>24</v>
      </c>
      <c r="H4600">
        <f>13343*(1.01^10)</f>
        <v>14738.973019361705</v>
      </c>
      <c r="I4600">
        <f>62984*(1.01^10)</f>
        <v>69573.519946899323</v>
      </c>
      <c r="J4600" t="s">
        <v>14234</v>
      </c>
      <c r="K4600">
        <f t="shared" si="71"/>
        <v>283.46593508658674</v>
      </c>
    </row>
    <row r="4601" spans="1:11" x14ac:dyDescent="0.2">
      <c r="A4601" t="s">
        <v>72</v>
      </c>
      <c r="B4601" t="s">
        <v>14153</v>
      </c>
      <c r="C4601" t="s">
        <v>14235</v>
      </c>
      <c r="D4601" t="s">
        <v>14236</v>
      </c>
      <c r="E4601" t="s">
        <v>97</v>
      </c>
      <c r="F4601" t="s">
        <v>12</v>
      </c>
      <c r="G4601" t="s">
        <v>24</v>
      </c>
      <c r="H4601">
        <f>9614*(1.01^10)</f>
        <v>10619.837113703323</v>
      </c>
      <c r="I4601">
        <f>44884*(1.01^10)</f>
        <v>49579.859476956517</v>
      </c>
      <c r="J4601" t="s">
        <v>14237</v>
      </c>
      <c r="K4601">
        <f t="shared" si="71"/>
        <v>246.85630338354008</v>
      </c>
    </row>
    <row r="4602" spans="1:11" x14ac:dyDescent="0.2">
      <c r="A4602" t="s">
        <v>72</v>
      </c>
      <c r="B4602" t="s">
        <v>14153</v>
      </c>
      <c r="C4602" t="s">
        <v>14238</v>
      </c>
      <c r="D4602" t="s">
        <v>14239</v>
      </c>
      <c r="E4602" t="s">
        <v>77</v>
      </c>
      <c r="F4602" t="s">
        <v>24</v>
      </c>
      <c r="G4602" t="s">
        <v>24</v>
      </c>
      <c r="H4602">
        <f>11938*(1.01^10)</f>
        <v>13186.978933158962</v>
      </c>
      <c r="I4602">
        <f>51334*(1.01^10)</f>
        <v>56704.672185858784</v>
      </c>
      <c r="J4602" t="s">
        <v>14240</v>
      </c>
      <c r="K4602">
        <f t="shared" si="71"/>
        <v>237.70880202316937</v>
      </c>
    </row>
    <row r="4603" spans="1:11" x14ac:dyDescent="0.2">
      <c r="A4603" t="s">
        <v>72</v>
      </c>
      <c r="B4603" t="s">
        <v>14153</v>
      </c>
      <c r="C4603" t="s">
        <v>14241</v>
      </c>
      <c r="D4603" t="s">
        <v>11389</v>
      </c>
      <c r="E4603" t="s">
        <v>72</v>
      </c>
      <c r="F4603" t="s">
        <v>11</v>
      </c>
      <c r="G4603" t="s">
        <v>12</v>
      </c>
      <c r="H4603">
        <f>19660*(1.01^10)</f>
        <v>21716.870985584286</v>
      </c>
      <c r="I4603">
        <f>87837*(1.01^10)</f>
        <v>97026.693629743997</v>
      </c>
      <c r="J4603" t="s">
        <v>14242</v>
      </c>
      <c r="K4603">
        <f t="shared" si="71"/>
        <v>625.33144959495007</v>
      </c>
    </row>
    <row r="4604" spans="1:11" x14ac:dyDescent="0.2">
      <c r="A4604" t="s">
        <v>72</v>
      </c>
      <c r="B4604" t="s">
        <v>14153</v>
      </c>
      <c r="C4604" t="s">
        <v>14243</v>
      </c>
      <c r="D4604" t="s">
        <v>14244</v>
      </c>
      <c r="E4604" t="s">
        <v>1656</v>
      </c>
      <c r="F4604" t="s">
        <v>11</v>
      </c>
      <c r="G4604" t="s">
        <v>24</v>
      </c>
      <c r="H4604">
        <f>14684*(1.01^10)</f>
        <v>16220.27128953813</v>
      </c>
      <c r="I4604">
        <f>65125*(1.01^10)</f>
        <v>71938.515917404715</v>
      </c>
      <c r="J4604" t="s">
        <v>14245</v>
      </c>
      <c r="K4604">
        <f t="shared" si="71"/>
        <v>281.64814266307263</v>
      </c>
    </row>
    <row r="4605" spans="1:11" x14ac:dyDescent="0.2">
      <c r="A4605" t="s">
        <v>72</v>
      </c>
      <c r="B4605" t="s">
        <v>14153</v>
      </c>
      <c r="C4605" t="s">
        <v>14246</v>
      </c>
      <c r="D4605" t="s">
        <v>14247</v>
      </c>
      <c r="E4605" t="s">
        <v>313</v>
      </c>
      <c r="F4605" t="s">
        <v>11</v>
      </c>
      <c r="G4605" t="s">
        <v>24</v>
      </c>
      <c r="H4605">
        <f>12824*(1.01^10)</f>
        <v>14165.67413627329</v>
      </c>
      <c r="I4605">
        <f>54587*(1.01^10)</f>
        <v>60298.007959821436</v>
      </c>
      <c r="J4605" t="s">
        <v>14248</v>
      </c>
      <c r="K4605">
        <f t="shared" si="71"/>
        <v>205.8725390413515</v>
      </c>
    </row>
    <row r="4606" spans="1:11" x14ac:dyDescent="0.2">
      <c r="A4606" t="s">
        <v>72</v>
      </c>
      <c r="B4606" t="s">
        <v>14153</v>
      </c>
      <c r="C4606" t="s">
        <v>14249</v>
      </c>
      <c r="D4606" t="s">
        <v>13799</v>
      </c>
      <c r="E4606" t="s">
        <v>796</v>
      </c>
      <c r="F4606" t="s">
        <v>92</v>
      </c>
      <c r="G4606" t="s">
        <v>12</v>
      </c>
      <c r="H4606">
        <f>16446*(1.01^10)</f>
        <v>18166.615474512673</v>
      </c>
      <c r="I4606">
        <f>74006*(1.01^10)</f>
        <v>81748.665013181613</v>
      </c>
      <c r="J4606" t="s">
        <v>14250</v>
      </c>
      <c r="K4606">
        <f t="shared" si="71"/>
        <v>304.13581239324975</v>
      </c>
    </row>
    <row r="4607" spans="1:11" x14ac:dyDescent="0.2">
      <c r="A4607" t="s">
        <v>72</v>
      </c>
      <c r="B4607" t="s">
        <v>14153</v>
      </c>
      <c r="C4607" t="s">
        <v>14251</v>
      </c>
      <c r="D4607" t="s">
        <v>5910</v>
      </c>
      <c r="E4607" t="s">
        <v>1340</v>
      </c>
      <c r="F4607" t="s">
        <v>5</v>
      </c>
      <c r="G4607" t="s">
        <v>24</v>
      </c>
      <c r="H4607">
        <f>10854*(1.01^10)</f>
        <v>11989.568549213216</v>
      </c>
      <c r="I4607">
        <f>46488*(1.01^10)</f>
        <v>51351.673366116083</v>
      </c>
      <c r="J4607" t="s">
        <v>14252</v>
      </c>
      <c r="K4607">
        <f t="shared" si="71"/>
        <v>185.32170301257747</v>
      </c>
    </row>
    <row r="4608" spans="1:11" x14ac:dyDescent="0.2">
      <c r="A4608" t="s">
        <v>72</v>
      </c>
      <c r="B4608" t="s">
        <v>14153</v>
      </c>
      <c r="C4608" t="s">
        <v>14253</v>
      </c>
      <c r="D4608" t="s">
        <v>14254</v>
      </c>
      <c r="E4608" t="s">
        <v>356</v>
      </c>
      <c r="F4608" t="s">
        <v>12</v>
      </c>
      <c r="G4608" t="s">
        <v>24</v>
      </c>
      <c r="H4608">
        <f>11490*(1.01^10)</f>
        <v>12692.108220974742</v>
      </c>
      <c r="I4608">
        <f>49409*(1.01^10)</f>
        <v>54578.274594442213</v>
      </c>
      <c r="J4608" t="s">
        <v>14255</v>
      </c>
      <c r="K4608">
        <f t="shared" si="71"/>
        <v>175.15492488588643</v>
      </c>
    </row>
    <row r="4609" spans="1:11" x14ac:dyDescent="0.2">
      <c r="A4609" t="s">
        <v>72</v>
      </c>
      <c r="B4609" t="s">
        <v>14256</v>
      </c>
      <c r="C4609" t="s">
        <v>14257</v>
      </c>
      <c r="D4609" t="s">
        <v>14258</v>
      </c>
      <c r="E4609" t="s">
        <v>356</v>
      </c>
      <c r="F4609" t="s">
        <v>24</v>
      </c>
      <c r="G4609" t="s">
        <v>24</v>
      </c>
      <c r="H4609">
        <f>10981*(1.01^10)</f>
        <v>12129.85555914044</v>
      </c>
      <c r="I4609">
        <f>53673*(1.01^10)</f>
        <v>59288.383337195592</v>
      </c>
      <c r="J4609" t="s">
        <v>14259</v>
      </c>
      <c r="K4609">
        <f t="shared" si="71"/>
        <v>233.06355202153708</v>
      </c>
    </row>
    <row r="4610" spans="1:11" x14ac:dyDescent="0.2">
      <c r="A4610" t="s">
        <v>72</v>
      </c>
      <c r="B4610" t="s">
        <v>14256</v>
      </c>
      <c r="C4610" t="s">
        <v>14260</v>
      </c>
      <c r="D4610" t="s">
        <v>14261</v>
      </c>
      <c r="E4610" t="s">
        <v>77</v>
      </c>
      <c r="F4610" t="s">
        <v>17</v>
      </c>
      <c r="G4610" t="s">
        <v>24</v>
      </c>
      <c r="H4610">
        <f>10819*(1.01^10)</f>
        <v>11950.906774823825</v>
      </c>
      <c r="I4610">
        <f>55937*(1.01^10)</f>
        <v>61789.247829126558</v>
      </c>
      <c r="J4610" t="s">
        <v>14262</v>
      </c>
      <c r="K4610">
        <f t="shared" si="71"/>
        <v>244.30037876538216</v>
      </c>
    </row>
    <row r="4611" spans="1:11" x14ac:dyDescent="0.2">
      <c r="A4611" t="s">
        <v>72</v>
      </c>
      <c r="B4611" t="s">
        <v>14256</v>
      </c>
      <c r="C4611" t="s">
        <v>14263</v>
      </c>
      <c r="D4611" t="s">
        <v>14264</v>
      </c>
      <c r="E4611" t="s">
        <v>61</v>
      </c>
      <c r="F4611" t="s">
        <v>12</v>
      </c>
      <c r="G4611" t="s">
        <v>24</v>
      </c>
      <c r="H4611">
        <f>11841*(1.01^10)</f>
        <v>13079.830586994076</v>
      </c>
      <c r="I4611">
        <f>57495*(1.01^10)</f>
        <v>63510.24910051722</v>
      </c>
      <c r="J4611" t="s">
        <v>14265</v>
      </c>
      <c r="K4611">
        <f t="shared" ref="K4611:K4674" si="72">I4611/J4611</f>
        <v>371.90789914247131</v>
      </c>
    </row>
    <row r="4612" spans="1:11" x14ac:dyDescent="0.2">
      <c r="A4612" t="s">
        <v>72</v>
      </c>
      <c r="B4612" t="s">
        <v>14256</v>
      </c>
      <c r="C4612" t="s">
        <v>14266</v>
      </c>
      <c r="D4612" t="s">
        <v>14267</v>
      </c>
      <c r="E4612" t="s">
        <v>427</v>
      </c>
      <c r="F4612" t="s">
        <v>24</v>
      </c>
      <c r="G4612" t="s">
        <v>24</v>
      </c>
      <c r="H4612">
        <f>10456*(1.01^10)</f>
        <v>11549.928943299557</v>
      </c>
      <c r="I4612">
        <f>51497*(1.01^10)</f>
        <v>56884.725592300812</v>
      </c>
      <c r="J4612" t="s">
        <v>14268</v>
      </c>
      <c r="K4612">
        <f t="shared" si="72"/>
        <v>288.8497468909141</v>
      </c>
    </row>
    <row r="4613" spans="1:11" x14ac:dyDescent="0.2">
      <c r="A4613" t="s">
        <v>72</v>
      </c>
      <c r="B4613" t="s">
        <v>14256</v>
      </c>
      <c r="C4613" t="s">
        <v>14269</v>
      </c>
      <c r="D4613" t="s">
        <v>14270</v>
      </c>
      <c r="E4613" t="s">
        <v>56</v>
      </c>
      <c r="F4613" t="s">
        <v>24</v>
      </c>
      <c r="G4613" t="s">
        <v>24</v>
      </c>
      <c r="H4613">
        <f>10998*(1.01^10)</f>
        <v>12148.63413527243</v>
      </c>
      <c r="I4613">
        <f>57946*(1.01^10)</f>
        <v>64008.433679077672</v>
      </c>
      <c r="J4613" t="s">
        <v>14271</v>
      </c>
      <c r="K4613">
        <f t="shared" si="72"/>
        <v>297.80706042620409</v>
      </c>
    </row>
    <row r="4614" spans="1:11" x14ac:dyDescent="0.2">
      <c r="A4614" t="s">
        <v>72</v>
      </c>
      <c r="B4614" t="s">
        <v>14256</v>
      </c>
      <c r="C4614" t="s">
        <v>14272</v>
      </c>
      <c r="D4614" t="s">
        <v>14273</v>
      </c>
      <c r="E4614" t="s">
        <v>220</v>
      </c>
      <c r="F4614" t="s">
        <v>12</v>
      </c>
      <c r="G4614" t="s">
        <v>24</v>
      </c>
      <c r="H4614">
        <f>13172*(1.01^10)</f>
        <v>14550.082635916389</v>
      </c>
      <c r="I4614">
        <f>67395*(1.01^10)</f>
        <v>74446.008142088147</v>
      </c>
      <c r="J4614" t="s">
        <v>14274</v>
      </c>
      <c r="K4614">
        <f t="shared" si="72"/>
        <v>327.22946182624298</v>
      </c>
    </row>
    <row r="4615" spans="1:11" x14ac:dyDescent="0.2">
      <c r="A4615" t="s">
        <v>72</v>
      </c>
      <c r="B4615" t="s">
        <v>14256</v>
      </c>
      <c r="C4615" t="s">
        <v>14275</v>
      </c>
      <c r="D4615" t="s">
        <v>14276</v>
      </c>
      <c r="E4615" t="s">
        <v>445</v>
      </c>
      <c r="F4615" t="s">
        <v>17</v>
      </c>
      <c r="G4615" t="s">
        <v>24</v>
      </c>
      <c r="H4615">
        <f>11175*(1.01^10)</f>
        <v>12344.152251470214</v>
      </c>
      <c r="I4615">
        <f>55044*(1.01^10)</f>
        <v>60802.820271134355</v>
      </c>
      <c r="J4615" t="s">
        <v>14277</v>
      </c>
      <c r="K4615">
        <f t="shared" si="72"/>
        <v>333.67017612380772</v>
      </c>
    </row>
    <row r="4616" spans="1:11" x14ac:dyDescent="0.2">
      <c r="A4616" t="s">
        <v>72</v>
      </c>
      <c r="B4616" t="s">
        <v>14256</v>
      </c>
      <c r="C4616" t="s">
        <v>14278</v>
      </c>
      <c r="D4616" t="s">
        <v>14161</v>
      </c>
      <c r="E4616" t="s">
        <v>427</v>
      </c>
      <c r="F4616" t="s">
        <v>12</v>
      </c>
      <c r="G4616" t="s">
        <v>24</v>
      </c>
      <c r="H4616">
        <f>10416*(1.01^10)</f>
        <v>11505.74405828311</v>
      </c>
      <c r="I4616">
        <f>52061*(1.01^10)</f>
        <v>57507.73247103273</v>
      </c>
      <c r="J4616" t="s">
        <v>14279</v>
      </c>
      <c r="K4616">
        <f t="shared" si="72"/>
        <v>261.27716355239835</v>
      </c>
    </row>
    <row r="4617" spans="1:11" x14ac:dyDescent="0.2">
      <c r="A4617" t="s">
        <v>72</v>
      </c>
      <c r="B4617" t="s">
        <v>14256</v>
      </c>
      <c r="C4617" t="s">
        <v>14280</v>
      </c>
      <c r="D4617" t="s">
        <v>14169</v>
      </c>
      <c r="E4617" t="s">
        <v>47</v>
      </c>
      <c r="F4617" t="s">
        <v>24</v>
      </c>
      <c r="G4617" t="s">
        <v>24</v>
      </c>
      <c r="H4617">
        <f>15322*(1.01^10)</f>
        <v>16925.020205550478</v>
      </c>
      <c r="I4617">
        <f>66668*(1.01^10)</f>
        <v>73642.947856914194</v>
      </c>
      <c r="J4617" t="s">
        <v>14281</v>
      </c>
      <c r="K4617">
        <f t="shared" si="72"/>
        <v>244.86268477369455</v>
      </c>
    </row>
    <row r="4618" spans="1:11" x14ac:dyDescent="0.2">
      <c r="A4618" t="s">
        <v>72</v>
      </c>
      <c r="B4618" t="s">
        <v>14256</v>
      </c>
      <c r="C4618" t="s">
        <v>14282</v>
      </c>
      <c r="D4618" t="s">
        <v>14283</v>
      </c>
      <c r="E4618" t="s">
        <v>72</v>
      </c>
      <c r="F4618" t="s">
        <v>11</v>
      </c>
      <c r="G4618" t="s">
        <v>24</v>
      </c>
      <c r="H4618">
        <f>13526*(1.01^10)</f>
        <v>14941.118868311956</v>
      </c>
      <c r="I4618">
        <f>60518*(1.01^10)</f>
        <v>66849.521785635283</v>
      </c>
      <c r="J4618" t="s">
        <v>14284</v>
      </c>
      <c r="K4618">
        <f t="shared" si="72"/>
        <v>279.54886097322481</v>
      </c>
    </row>
    <row r="4619" spans="1:11" x14ac:dyDescent="0.2">
      <c r="A4619" t="s">
        <v>72</v>
      </c>
      <c r="B4619" t="s">
        <v>14256</v>
      </c>
      <c r="C4619" t="s">
        <v>14285</v>
      </c>
      <c r="D4619" t="s">
        <v>14286</v>
      </c>
      <c r="E4619" t="s">
        <v>97</v>
      </c>
      <c r="F4619" t="s">
        <v>17</v>
      </c>
      <c r="G4619" t="s">
        <v>12</v>
      </c>
      <c r="H4619">
        <f>26214*(1.01^10)</f>
        <v>28956.56439552932</v>
      </c>
      <c r="I4619">
        <f>112633*(1.01^10)</f>
        <v>124416.90385144022</v>
      </c>
      <c r="J4619" t="s">
        <v>14287</v>
      </c>
      <c r="K4619">
        <f t="shared" si="72"/>
        <v>452.88867299566533</v>
      </c>
    </row>
    <row r="4620" spans="1:11" x14ac:dyDescent="0.2">
      <c r="A4620" t="s">
        <v>72</v>
      </c>
      <c r="B4620" t="s">
        <v>14256</v>
      </c>
      <c r="C4620" t="s">
        <v>14288</v>
      </c>
      <c r="D4620" t="s">
        <v>14289</v>
      </c>
      <c r="E4620" t="s">
        <v>274</v>
      </c>
      <c r="F4620" t="s">
        <v>24</v>
      </c>
      <c r="G4620" t="s">
        <v>12</v>
      </c>
      <c r="H4620">
        <f>15230*(1.01^10)</f>
        <v>16823.394970012647</v>
      </c>
      <c r="I4620">
        <f>65241*(1.01^10)</f>
        <v>72066.652083952402</v>
      </c>
      <c r="J4620" t="s">
        <v>14290</v>
      </c>
      <c r="K4620">
        <f t="shared" si="72"/>
        <v>335.61861928533449</v>
      </c>
    </row>
    <row r="4621" spans="1:11" x14ac:dyDescent="0.2">
      <c r="A4621" t="s">
        <v>72</v>
      </c>
      <c r="B4621" t="s">
        <v>14256</v>
      </c>
      <c r="C4621" t="s">
        <v>14291</v>
      </c>
      <c r="D4621" t="s">
        <v>14292</v>
      </c>
      <c r="E4621" t="s">
        <v>422</v>
      </c>
      <c r="F4621" t="s">
        <v>24</v>
      </c>
      <c r="G4621" t="s">
        <v>24</v>
      </c>
      <c r="H4621">
        <f>10094*(1.01^10)</f>
        <v>11150.055733900701</v>
      </c>
      <c r="I4621">
        <f>42592*(1.01^10)</f>
        <v>47048.065565514029</v>
      </c>
      <c r="J4621" t="s">
        <v>14293</v>
      </c>
      <c r="K4621">
        <f t="shared" si="72"/>
        <v>220.08140457019223</v>
      </c>
    </row>
    <row r="4622" spans="1:11" x14ac:dyDescent="0.2">
      <c r="A4622" t="s">
        <v>72</v>
      </c>
      <c r="B4622" t="s">
        <v>14256</v>
      </c>
      <c r="C4622" t="s">
        <v>14294</v>
      </c>
      <c r="D4622" t="s">
        <v>14295</v>
      </c>
      <c r="E4622" t="s">
        <v>56</v>
      </c>
      <c r="F4622" t="s">
        <v>12</v>
      </c>
      <c r="G4622" t="s">
        <v>24</v>
      </c>
      <c r="H4622">
        <f>12327*(1.01^10)</f>
        <v>13616.676939943922</v>
      </c>
      <c r="I4622">
        <f>52835*(1.01^10)</f>
        <v>58362.709996101003</v>
      </c>
      <c r="J4622" t="s">
        <v>14296</v>
      </c>
      <c r="K4622">
        <f t="shared" si="72"/>
        <v>193.41073289724673</v>
      </c>
    </row>
    <row r="4623" spans="1:11" x14ac:dyDescent="0.2">
      <c r="A4623" t="s">
        <v>72</v>
      </c>
      <c r="B4623" t="s">
        <v>14256</v>
      </c>
      <c r="C4623" t="s">
        <v>14297</v>
      </c>
      <c r="D4623" t="s">
        <v>14298</v>
      </c>
      <c r="E4623" t="s">
        <v>44</v>
      </c>
      <c r="F4623" t="s">
        <v>24</v>
      </c>
      <c r="G4623" t="s">
        <v>24</v>
      </c>
      <c r="H4623">
        <f>13690*(1.01^10)</f>
        <v>15122.276896879393</v>
      </c>
      <c r="I4623">
        <f>62034*(1.01^10)</f>
        <v>68524.128927758677</v>
      </c>
      <c r="J4623" t="s">
        <v>14299</v>
      </c>
      <c r="K4623">
        <f t="shared" si="72"/>
        <v>249.34105006810535</v>
      </c>
    </row>
    <row r="4624" spans="1:11" x14ac:dyDescent="0.2">
      <c r="A4624" t="s">
        <v>72</v>
      </c>
      <c r="B4624" t="s">
        <v>14256</v>
      </c>
      <c r="C4624" t="s">
        <v>14300</v>
      </c>
      <c r="D4624" t="s">
        <v>14301</v>
      </c>
      <c r="E4624" t="s">
        <v>318</v>
      </c>
      <c r="F4624" t="s">
        <v>12</v>
      </c>
      <c r="G4624" t="s">
        <v>24</v>
      </c>
      <c r="H4624">
        <f>11271*(1.01^10)</f>
        <v>12450.195975509689</v>
      </c>
      <c r="I4624">
        <f>49133*(1.01^10)</f>
        <v>54273.39888782872</v>
      </c>
      <c r="J4624" t="s">
        <v>14302</v>
      </c>
      <c r="K4624">
        <f t="shared" si="72"/>
        <v>195.84497522050907</v>
      </c>
    </row>
    <row r="4625" spans="1:11" x14ac:dyDescent="0.2">
      <c r="A4625" t="s">
        <v>72</v>
      </c>
      <c r="B4625" t="s">
        <v>14256</v>
      </c>
      <c r="C4625" t="s">
        <v>14303</v>
      </c>
      <c r="D4625" t="s">
        <v>14304</v>
      </c>
      <c r="E4625" t="s">
        <v>356</v>
      </c>
      <c r="F4625" t="s">
        <v>12</v>
      </c>
      <c r="G4625" t="s">
        <v>24</v>
      </c>
      <c r="H4625">
        <f>11267*(1.01^10)</f>
        <v>12445.777487008045</v>
      </c>
      <c r="I4625">
        <f>46006*(1.01^10)</f>
        <v>50819.245501667887</v>
      </c>
      <c r="J4625" t="s">
        <v>14305</v>
      </c>
      <c r="K4625">
        <f t="shared" si="72"/>
        <v>165.97397262660584</v>
      </c>
    </row>
    <row r="4626" spans="1:11" x14ac:dyDescent="0.2">
      <c r="A4626" t="s">
        <v>72</v>
      </c>
      <c r="B4626" t="s">
        <v>14256</v>
      </c>
      <c r="C4626" t="s">
        <v>14306</v>
      </c>
      <c r="D4626" t="s">
        <v>14307</v>
      </c>
      <c r="E4626" t="s">
        <v>56</v>
      </c>
      <c r="F4626" t="s">
        <v>24</v>
      </c>
      <c r="G4626" t="s">
        <v>24</v>
      </c>
      <c r="H4626">
        <f>12153*(1.01^10)</f>
        <v>13424.472690122371</v>
      </c>
      <c r="I4626">
        <f>52352*(1.01^10)</f>
        <v>57829.177509527392</v>
      </c>
      <c r="J4626" t="s">
        <v>14308</v>
      </c>
      <c r="K4626">
        <f t="shared" si="72"/>
        <v>173.82172279604939</v>
      </c>
    </row>
    <row r="4627" spans="1:11" x14ac:dyDescent="0.2">
      <c r="A4627" t="s">
        <v>72</v>
      </c>
      <c r="B4627" t="s">
        <v>14256</v>
      </c>
      <c r="C4627" t="s">
        <v>14309</v>
      </c>
      <c r="D4627" t="s">
        <v>14310</v>
      </c>
      <c r="E4627" t="s">
        <v>313</v>
      </c>
      <c r="F4627" t="s">
        <v>12</v>
      </c>
      <c r="G4627" t="s">
        <v>17</v>
      </c>
      <c r="H4627">
        <f>22297*(1.01^10)</f>
        <v>24629.759530293632</v>
      </c>
      <c r="I4627">
        <f>102766*(1.01^10)</f>
        <v>113517.59734000787</v>
      </c>
      <c r="J4627" t="s">
        <v>14311</v>
      </c>
      <c r="K4627">
        <f t="shared" si="72"/>
        <v>439.34359215112573</v>
      </c>
    </row>
    <row r="4628" spans="1:11" x14ac:dyDescent="0.2">
      <c r="A4628" t="s">
        <v>72</v>
      </c>
      <c r="B4628" t="s">
        <v>14256</v>
      </c>
      <c r="C4628" t="s">
        <v>14312</v>
      </c>
      <c r="D4628" t="s">
        <v>14313</v>
      </c>
      <c r="E4628" t="s">
        <v>274</v>
      </c>
      <c r="F4628" t="s">
        <v>12</v>
      </c>
      <c r="G4628" t="s">
        <v>11</v>
      </c>
      <c r="H4628">
        <f>49873*(1.01^10)</f>
        <v>55090.819260633012</v>
      </c>
      <c r="I4628">
        <f>249091*(1.01^10)</f>
        <v>275151.42984080239</v>
      </c>
      <c r="J4628" t="s">
        <v>14314</v>
      </c>
      <c r="K4628">
        <f t="shared" si="72"/>
        <v>1218.7035399893716</v>
      </c>
    </row>
    <row r="4629" spans="1:11" x14ac:dyDescent="0.2">
      <c r="A4629" t="s">
        <v>72</v>
      </c>
      <c r="B4629" t="s">
        <v>14256</v>
      </c>
      <c r="C4629" t="s">
        <v>14315</v>
      </c>
      <c r="D4629" t="s">
        <v>14316</v>
      </c>
      <c r="E4629" t="s">
        <v>72</v>
      </c>
      <c r="F4629" t="s">
        <v>12</v>
      </c>
      <c r="G4629" t="s">
        <v>24</v>
      </c>
      <c r="H4629">
        <f>13116*(1.01^10)</f>
        <v>14488.223796893362</v>
      </c>
      <c r="I4629">
        <f>66721*(1.01^10)</f>
        <v>73701.492829560986</v>
      </c>
      <c r="J4629" t="s">
        <v>14317</v>
      </c>
      <c r="K4629">
        <f t="shared" si="72"/>
        <v>351.08235305710036</v>
      </c>
    </row>
    <row r="4630" spans="1:11" x14ac:dyDescent="0.2">
      <c r="A4630" t="s">
        <v>72</v>
      </c>
      <c r="B4630" t="s">
        <v>14256</v>
      </c>
      <c r="C4630" t="s">
        <v>14318</v>
      </c>
      <c r="D4630" t="s">
        <v>14319</v>
      </c>
      <c r="E4630" t="s">
        <v>1340</v>
      </c>
      <c r="F4630" t="s">
        <v>11</v>
      </c>
      <c r="G4630" t="s">
        <v>12</v>
      </c>
      <c r="H4630">
        <f>18649*(1.01^10)</f>
        <v>20600.098016793556</v>
      </c>
      <c r="I4630">
        <f>97838*(1.01^10)</f>
        <v>108074.01950598144</v>
      </c>
      <c r="J4630" t="s">
        <v>14320</v>
      </c>
      <c r="K4630">
        <f t="shared" si="72"/>
        <v>447.89415037993177</v>
      </c>
    </row>
    <row r="4631" spans="1:11" x14ac:dyDescent="0.2">
      <c r="A4631" t="s">
        <v>72</v>
      </c>
      <c r="B4631" t="s">
        <v>14256</v>
      </c>
      <c r="C4631" t="s">
        <v>14321</v>
      </c>
      <c r="D4631" t="s">
        <v>14322</v>
      </c>
      <c r="E4631" t="s">
        <v>726</v>
      </c>
      <c r="F4631" t="s">
        <v>5</v>
      </c>
      <c r="G4631" t="s">
        <v>24</v>
      </c>
      <c r="H4631">
        <f>10705*(1.01^10)</f>
        <v>11824.979852526947</v>
      </c>
      <c r="I4631">
        <f>55885*(1.01^10)</f>
        <v>61731.80747860518</v>
      </c>
      <c r="J4631" t="s">
        <v>14323</v>
      </c>
      <c r="K4631">
        <f t="shared" si="72"/>
        <v>229.83969662873568</v>
      </c>
    </row>
    <row r="4632" spans="1:11" x14ac:dyDescent="0.2">
      <c r="A4632" t="s">
        <v>72</v>
      </c>
      <c r="B4632" t="s">
        <v>14256</v>
      </c>
      <c r="C4632" t="s">
        <v>14324</v>
      </c>
      <c r="D4632" t="s">
        <v>14325</v>
      </c>
      <c r="E4632" t="s">
        <v>445</v>
      </c>
      <c r="F4632" t="s">
        <v>24</v>
      </c>
      <c r="G4632" t="s">
        <v>24</v>
      </c>
      <c r="H4632">
        <f>12564*(1.01^10)</f>
        <v>13878.472383666376</v>
      </c>
      <c r="I4632">
        <f>64039*(1.01^10)</f>
        <v>70738.896289208147</v>
      </c>
      <c r="J4632" t="s">
        <v>14326</v>
      </c>
      <c r="K4632">
        <f t="shared" si="72"/>
        <v>309.14025407228957</v>
      </c>
    </row>
    <row r="4633" spans="1:11" x14ac:dyDescent="0.2">
      <c r="A4633" t="s">
        <v>72</v>
      </c>
      <c r="B4633" t="s">
        <v>14256</v>
      </c>
      <c r="C4633" t="s">
        <v>14327</v>
      </c>
      <c r="D4633" t="s">
        <v>14328</v>
      </c>
      <c r="E4633" t="s">
        <v>56</v>
      </c>
      <c r="F4633" t="s">
        <v>24</v>
      </c>
      <c r="G4633" t="s">
        <v>24</v>
      </c>
      <c r="H4633">
        <f>11628*(1.01^10)</f>
        <v>12844.546074281488</v>
      </c>
      <c r="I4633">
        <f>58385*(1.01^10)</f>
        <v>64493.362792133186</v>
      </c>
      <c r="J4633" t="s">
        <v>14329</v>
      </c>
      <c r="K4633">
        <f t="shared" si="72"/>
        <v>251.66092693346874</v>
      </c>
    </row>
    <row r="4634" spans="1:11" x14ac:dyDescent="0.2">
      <c r="A4634" t="s">
        <v>72</v>
      </c>
      <c r="B4634" t="s">
        <v>14256</v>
      </c>
      <c r="C4634" t="s">
        <v>14330</v>
      </c>
      <c r="D4634" t="s">
        <v>14331</v>
      </c>
      <c r="E4634" t="s">
        <v>411</v>
      </c>
      <c r="F4634" t="s">
        <v>24</v>
      </c>
      <c r="G4634" t="s">
        <v>24</v>
      </c>
      <c r="H4634">
        <f>10470*(1.01^10)</f>
        <v>11565.393653055313</v>
      </c>
      <c r="I4634">
        <f>49777*(1.01^10)</f>
        <v>54984.775536593537</v>
      </c>
      <c r="J4634" t="s">
        <v>14332</v>
      </c>
      <c r="K4634">
        <f t="shared" si="72"/>
        <v>324.49323544929985</v>
      </c>
    </row>
    <row r="4635" spans="1:11" x14ac:dyDescent="0.2">
      <c r="A4635" t="s">
        <v>72</v>
      </c>
      <c r="B4635" t="s">
        <v>14256</v>
      </c>
      <c r="C4635" t="s">
        <v>14333</v>
      </c>
      <c r="D4635" t="s">
        <v>14334</v>
      </c>
      <c r="E4635" t="s">
        <v>411</v>
      </c>
      <c r="F4635" t="s">
        <v>17</v>
      </c>
      <c r="G4635" t="s">
        <v>24</v>
      </c>
      <c r="H4635">
        <f>8873*(1.01^10)</f>
        <v>9801.3121187736197</v>
      </c>
      <c r="I4635">
        <f>40424*(1.01^10)</f>
        <v>44653.244797622538</v>
      </c>
      <c r="J4635" t="s">
        <v>14335</v>
      </c>
      <c r="K4635">
        <f t="shared" si="72"/>
        <v>216.67127707725714</v>
      </c>
    </row>
    <row r="4636" spans="1:11" x14ac:dyDescent="0.2">
      <c r="A4636" t="s">
        <v>72</v>
      </c>
      <c r="B4636" t="s">
        <v>14256</v>
      </c>
      <c r="C4636" t="s">
        <v>14336</v>
      </c>
      <c r="D4636" t="s">
        <v>14337</v>
      </c>
      <c r="E4636" t="s">
        <v>411</v>
      </c>
      <c r="F4636" t="s">
        <v>24</v>
      </c>
      <c r="G4636" t="s">
        <v>12</v>
      </c>
      <c r="H4636">
        <f>15005*(1.01^10)</f>
        <v>16574.854991795128</v>
      </c>
      <c r="I4636">
        <f>64095*(1.01^10)</f>
        <v>70800.755128231162</v>
      </c>
      <c r="J4636" t="s">
        <v>14338</v>
      </c>
      <c r="K4636">
        <f t="shared" si="72"/>
        <v>264.73531779110823</v>
      </c>
    </row>
    <row r="4637" spans="1:11" x14ac:dyDescent="0.2">
      <c r="A4637" t="s">
        <v>72</v>
      </c>
      <c r="B4637" t="s">
        <v>14256</v>
      </c>
      <c r="C4637" t="s">
        <v>14339</v>
      </c>
      <c r="D4637" t="s">
        <v>14340</v>
      </c>
      <c r="E4637" t="s">
        <v>61</v>
      </c>
      <c r="F4637" t="s">
        <v>24</v>
      </c>
      <c r="G4637" t="s">
        <v>24</v>
      </c>
      <c r="H4637">
        <f>11806*(1.01^10)</f>
        <v>13041.168812604683</v>
      </c>
      <c r="I4637">
        <f>50113*(1.01^10)</f>
        <v>55355.928570731703</v>
      </c>
      <c r="J4637" t="s">
        <v>14341</v>
      </c>
      <c r="K4637">
        <f t="shared" si="72"/>
        <v>140.81424299123393</v>
      </c>
    </row>
    <row r="4638" spans="1:11" x14ac:dyDescent="0.2">
      <c r="A4638" t="s">
        <v>72</v>
      </c>
      <c r="B4638" t="s">
        <v>14256</v>
      </c>
      <c r="C4638" t="s">
        <v>14342</v>
      </c>
      <c r="D4638" t="s">
        <v>14343</v>
      </c>
      <c r="E4638" t="s">
        <v>318</v>
      </c>
      <c r="F4638" t="s">
        <v>12</v>
      </c>
      <c r="G4638" t="s">
        <v>12</v>
      </c>
      <c r="H4638">
        <f>12281*(1.01^10)</f>
        <v>13565.864322175006</v>
      </c>
      <c r="I4638">
        <f>50133*(1.01^10)</f>
        <v>55378.02101323993</v>
      </c>
      <c r="J4638" t="s">
        <v>14344</v>
      </c>
      <c r="K4638">
        <f t="shared" si="72"/>
        <v>27.911113315113305</v>
      </c>
    </row>
    <row r="4639" spans="1:11" x14ac:dyDescent="0.2">
      <c r="A4639" t="s">
        <v>72</v>
      </c>
      <c r="B4639" t="s">
        <v>14256</v>
      </c>
      <c r="C4639" t="s">
        <v>14345</v>
      </c>
      <c r="D4639" t="s">
        <v>14346</v>
      </c>
      <c r="E4639" t="s">
        <v>422</v>
      </c>
      <c r="F4639" t="s">
        <v>24</v>
      </c>
      <c r="G4639" t="s">
        <v>17</v>
      </c>
      <c r="H4639">
        <f>15679*(1.01^10)</f>
        <v>17319.370304322278</v>
      </c>
      <c r="I4639">
        <f>69875*(1.01^10)</f>
        <v>77185.471013107934</v>
      </c>
      <c r="J4639" t="s">
        <v>14347</v>
      </c>
      <c r="K4639">
        <f t="shared" si="72"/>
        <v>188.96754313925641</v>
      </c>
    </row>
    <row r="4640" spans="1:11" x14ac:dyDescent="0.2">
      <c r="A4640" t="s">
        <v>72</v>
      </c>
      <c r="B4640" t="s">
        <v>14256</v>
      </c>
      <c r="C4640" t="s">
        <v>14348</v>
      </c>
      <c r="D4640" t="s">
        <v>14349</v>
      </c>
      <c r="E4640" t="s">
        <v>422</v>
      </c>
      <c r="F4640" t="s">
        <v>17</v>
      </c>
      <c r="G4640" t="s">
        <v>24</v>
      </c>
      <c r="H4640">
        <f>7879*(1.01^10)</f>
        <v>8703.317726114883</v>
      </c>
      <c r="I4640">
        <f>34225*(1.01^10)</f>
        <v>37805.692242198485</v>
      </c>
      <c r="J4640" t="s">
        <v>14350</v>
      </c>
      <c r="K4640">
        <f t="shared" si="72"/>
        <v>164.70845173953032</v>
      </c>
    </row>
    <row r="4641" spans="1:11" x14ac:dyDescent="0.2">
      <c r="A4641" t="s">
        <v>72</v>
      </c>
      <c r="B4641" t="s">
        <v>14256</v>
      </c>
      <c r="C4641" t="s">
        <v>14351</v>
      </c>
      <c r="D4641" t="s">
        <v>14352</v>
      </c>
      <c r="E4641" t="s">
        <v>422</v>
      </c>
      <c r="F4641" t="s">
        <v>24</v>
      </c>
      <c r="G4641" t="s">
        <v>24</v>
      </c>
      <c r="H4641">
        <f>10852*(1.01^10)</f>
        <v>11987.359304962394</v>
      </c>
      <c r="I4641">
        <f>49585*(1.01^10)</f>
        <v>54772.688088514587</v>
      </c>
      <c r="J4641" t="s">
        <v>14353</v>
      </c>
      <c r="K4641">
        <f t="shared" si="72"/>
        <v>230.98454210391807</v>
      </c>
    </row>
    <row r="4642" spans="1:11" x14ac:dyDescent="0.2">
      <c r="A4642" t="s">
        <v>72</v>
      </c>
      <c r="B4642" t="s">
        <v>14256</v>
      </c>
      <c r="C4642" t="s">
        <v>14354</v>
      </c>
      <c r="D4642" t="s">
        <v>14355</v>
      </c>
      <c r="E4642" t="s">
        <v>61</v>
      </c>
      <c r="F4642" t="s">
        <v>24</v>
      </c>
      <c r="G4642" t="s">
        <v>24</v>
      </c>
      <c r="H4642">
        <f>8809*(1.01^10)</f>
        <v>9730.6163027473031</v>
      </c>
      <c r="I4642">
        <f>38375*(1.01^10)</f>
        <v>42389.874062654984</v>
      </c>
      <c r="J4642" t="s">
        <v>14356</v>
      </c>
      <c r="K4642">
        <f t="shared" si="72"/>
        <v>193.17561668863266</v>
      </c>
    </row>
    <row r="4643" spans="1:11" x14ac:dyDescent="0.2">
      <c r="A4643" t="s">
        <v>72</v>
      </c>
      <c r="B4643" t="s">
        <v>14256</v>
      </c>
      <c r="C4643" t="s">
        <v>14357</v>
      </c>
      <c r="D4643" t="s">
        <v>14358</v>
      </c>
      <c r="E4643" t="s">
        <v>1340</v>
      </c>
      <c r="F4643" t="s">
        <v>11</v>
      </c>
      <c r="G4643" t="s">
        <v>12</v>
      </c>
      <c r="H4643">
        <f>16188*(1.01^10)</f>
        <v>17881.622966156581</v>
      </c>
      <c r="I4643">
        <f>74728*(1.01^10)</f>
        <v>82546.202187728515</v>
      </c>
      <c r="J4643" t="s">
        <v>14359</v>
      </c>
      <c r="K4643">
        <f t="shared" si="72"/>
        <v>387.84328486361545</v>
      </c>
    </row>
    <row r="4644" spans="1:11" x14ac:dyDescent="0.2">
      <c r="A4644" t="s">
        <v>72</v>
      </c>
      <c r="B4644" t="s">
        <v>14256</v>
      </c>
      <c r="C4644" t="s">
        <v>14360</v>
      </c>
      <c r="D4644" t="s">
        <v>14361</v>
      </c>
      <c r="E4644" t="s">
        <v>726</v>
      </c>
      <c r="F4644" t="s">
        <v>24</v>
      </c>
      <c r="G4644" t="s">
        <v>24</v>
      </c>
      <c r="H4644">
        <f>16239*(1.01^10)</f>
        <v>17937.958694552555</v>
      </c>
      <c r="I4644">
        <f>72647*(1.01^10)</f>
        <v>80247.483544747796</v>
      </c>
      <c r="J4644" t="s">
        <v>14362</v>
      </c>
      <c r="K4644">
        <f t="shared" si="72"/>
        <v>324.73254525011481</v>
      </c>
    </row>
    <row r="4645" spans="1:11" x14ac:dyDescent="0.2">
      <c r="A4645" t="s">
        <v>72</v>
      </c>
      <c r="B4645" t="s">
        <v>14256</v>
      </c>
      <c r="C4645" t="s">
        <v>14363</v>
      </c>
      <c r="D4645" t="s">
        <v>14364</v>
      </c>
      <c r="E4645" t="s">
        <v>1340</v>
      </c>
      <c r="F4645" t="s">
        <v>17</v>
      </c>
      <c r="G4645" t="s">
        <v>24</v>
      </c>
      <c r="H4645">
        <f>9820*(1.01^10)</f>
        <v>10847.38927153803</v>
      </c>
      <c r="I4645">
        <f>48771*(1.01^10)</f>
        <v>53873.525678429869</v>
      </c>
      <c r="J4645" t="s">
        <v>14365</v>
      </c>
      <c r="K4645">
        <f t="shared" si="72"/>
        <v>296.42669650197638</v>
      </c>
    </row>
    <row r="4646" spans="1:11" x14ac:dyDescent="0.2">
      <c r="A4646" t="s">
        <v>72</v>
      </c>
      <c r="B4646" t="s">
        <v>14256</v>
      </c>
      <c r="C4646" t="s">
        <v>14366</v>
      </c>
      <c r="D4646" t="s">
        <v>14367</v>
      </c>
      <c r="E4646" t="s">
        <v>1340</v>
      </c>
      <c r="F4646" t="s">
        <v>24</v>
      </c>
      <c r="G4646" t="s">
        <v>24</v>
      </c>
      <c r="H4646">
        <f>10603*(1.01^10)</f>
        <v>11712.308395735005</v>
      </c>
      <c r="I4646">
        <f>52381*(1.01^10)</f>
        <v>57861.211551164313</v>
      </c>
      <c r="J4646" t="s">
        <v>14368</v>
      </c>
      <c r="K4646">
        <f t="shared" si="72"/>
        <v>278.86261547182039</v>
      </c>
    </row>
    <row r="4647" spans="1:11" x14ac:dyDescent="0.2">
      <c r="A4647" t="s">
        <v>72</v>
      </c>
      <c r="B4647" t="s">
        <v>14256</v>
      </c>
      <c r="C4647" t="s">
        <v>14369</v>
      </c>
      <c r="D4647" t="s">
        <v>14370</v>
      </c>
      <c r="E4647" t="s">
        <v>796</v>
      </c>
      <c r="F4647" t="s">
        <v>24</v>
      </c>
      <c r="G4647" t="s">
        <v>12</v>
      </c>
      <c r="H4647">
        <f>10674*(1.01^10)</f>
        <v>11790.7365666392</v>
      </c>
      <c r="I4647">
        <f>50341*(1.01^10)</f>
        <v>55607.782415325455</v>
      </c>
      <c r="J4647" t="s">
        <v>14371</v>
      </c>
      <c r="K4647">
        <f t="shared" si="72"/>
        <v>274.22599296207909</v>
      </c>
    </row>
    <row r="4648" spans="1:11" x14ac:dyDescent="0.2">
      <c r="A4648" t="s">
        <v>72</v>
      </c>
      <c r="B4648" t="s">
        <v>14256</v>
      </c>
      <c r="C4648" t="s">
        <v>14372</v>
      </c>
      <c r="D4648" t="s">
        <v>14373</v>
      </c>
      <c r="E4648" t="s">
        <v>1656</v>
      </c>
      <c r="F4648" t="s">
        <v>12</v>
      </c>
      <c r="G4648" t="s">
        <v>24</v>
      </c>
      <c r="H4648">
        <f>9963*(1.01^10)</f>
        <v>11005.350235471833</v>
      </c>
      <c r="I4648">
        <f>49359*(1.01^10)</f>
        <v>54523.043488171657</v>
      </c>
      <c r="J4648" t="s">
        <v>14374</v>
      </c>
      <c r="K4648">
        <f t="shared" si="72"/>
        <v>198.37266142677743</v>
      </c>
    </row>
    <row r="4649" spans="1:11" x14ac:dyDescent="0.2">
      <c r="A4649" t="s">
        <v>72</v>
      </c>
      <c r="B4649" t="s">
        <v>14256</v>
      </c>
      <c r="C4649" t="s">
        <v>14375</v>
      </c>
      <c r="D4649" t="s">
        <v>14376</v>
      </c>
      <c r="E4649" t="s">
        <v>72</v>
      </c>
      <c r="F4649" t="s">
        <v>11</v>
      </c>
      <c r="G4649" t="s">
        <v>24</v>
      </c>
      <c r="H4649">
        <f>14264*(1.01^10)</f>
        <v>15756.329996865425</v>
      </c>
      <c r="I4649">
        <f>72028*(1.01^10)</f>
        <v>79563.722449118257</v>
      </c>
      <c r="J4649" t="s">
        <v>14377</v>
      </c>
      <c r="K4649">
        <f t="shared" si="72"/>
        <v>225.89530280152994</v>
      </c>
    </row>
    <row r="4650" spans="1:11" x14ac:dyDescent="0.2">
      <c r="A4650" t="s">
        <v>72</v>
      </c>
      <c r="B4650" t="s">
        <v>14256</v>
      </c>
      <c r="C4650" t="s">
        <v>14378</v>
      </c>
      <c r="D4650" t="s">
        <v>14379</v>
      </c>
      <c r="E4650" t="s">
        <v>1656</v>
      </c>
      <c r="F4650" t="s">
        <v>5</v>
      </c>
      <c r="G4650" t="s">
        <v>24</v>
      </c>
      <c r="H4650">
        <f>9382*(1.01^10)</f>
        <v>10363.564780607923</v>
      </c>
      <c r="I4650">
        <f>47957*(1.01^10)</f>
        <v>52974.363268345143</v>
      </c>
      <c r="J4650" t="s">
        <v>14380</v>
      </c>
      <c r="K4650">
        <f t="shared" si="72"/>
        <v>138.90509052280709</v>
      </c>
    </row>
    <row r="4651" spans="1:11" x14ac:dyDescent="0.2">
      <c r="A4651" t="s">
        <v>72</v>
      </c>
      <c r="B4651" t="s">
        <v>14256</v>
      </c>
      <c r="C4651" t="s">
        <v>14381</v>
      </c>
      <c r="D4651" t="s">
        <v>13292</v>
      </c>
      <c r="E4651" t="s">
        <v>77</v>
      </c>
      <c r="F4651" t="s">
        <v>24</v>
      </c>
      <c r="G4651" t="s">
        <v>24</v>
      </c>
      <c r="H4651">
        <f>14103*(1.01^10)</f>
        <v>15578.48583467422</v>
      </c>
      <c r="I4651">
        <f>65945*(1.01^10)</f>
        <v>72844.306060241899</v>
      </c>
      <c r="J4651" t="s">
        <v>14382</v>
      </c>
      <c r="K4651">
        <f t="shared" si="72"/>
        <v>245.14446297538993</v>
      </c>
    </row>
    <row r="4652" spans="1:11" x14ac:dyDescent="0.2">
      <c r="A4652" t="s">
        <v>72</v>
      </c>
      <c r="B4652" t="s">
        <v>14256</v>
      </c>
      <c r="C4652" t="s">
        <v>14383</v>
      </c>
      <c r="D4652" t="s">
        <v>14384</v>
      </c>
      <c r="E4652" t="s">
        <v>726</v>
      </c>
      <c r="F4652" t="s">
        <v>12</v>
      </c>
      <c r="G4652" t="s">
        <v>12</v>
      </c>
      <c r="H4652">
        <f>13171*(1.01^10)</f>
        <v>14548.978013790978</v>
      </c>
      <c r="I4652">
        <f>61505*(1.01^10)</f>
        <v>67939.783823416146</v>
      </c>
      <c r="J4652" t="s">
        <v>14385</v>
      </c>
      <c r="K4652">
        <f t="shared" si="72"/>
        <v>311.2795781185111</v>
      </c>
    </row>
    <row r="4653" spans="1:11" x14ac:dyDescent="0.2">
      <c r="A4653" t="s">
        <v>72</v>
      </c>
      <c r="B4653" t="s">
        <v>14256</v>
      </c>
      <c r="C4653" t="s">
        <v>14386</v>
      </c>
      <c r="D4653" t="s">
        <v>14387</v>
      </c>
      <c r="E4653" t="s">
        <v>103</v>
      </c>
      <c r="F4653" t="s">
        <v>12</v>
      </c>
      <c r="G4653" t="s">
        <v>12</v>
      </c>
      <c r="H4653">
        <f>16781*(1.01^10)</f>
        <v>18536.663886525428</v>
      </c>
      <c r="I4653">
        <f>79604*(1.01^10)</f>
        <v>87932.339671233538</v>
      </c>
      <c r="J4653" t="s">
        <v>14388</v>
      </c>
      <c r="K4653">
        <f t="shared" si="72"/>
        <v>361.30860703256377</v>
      </c>
    </row>
    <row r="4654" spans="1:11" x14ac:dyDescent="0.2">
      <c r="A4654" t="s">
        <v>72</v>
      </c>
      <c r="B4654" t="s">
        <v>14256</v>
      </c>
      <c r="C4654" t="s">
        <v>14389</v>
      </c>
      <c r="D4654" t="s">
        <v>14390</v>
      </c>
      <c r="E4654" t="s">
        <v>274</v>
      </c>
      <c r="F4654" t="s">
        <v>24</v>
      </c>
      <c r="G4654" t="s">
        <v>24</v>
      </c>
      <c r="H4654">
        <f>8147*(1.01^10)</f>
        <v>8999.3564557250847</v>
      </c>
      <c r="I4654">
        <f>40303*(1.01^10)</f>
        <v>44519.585520447785</v>
      </c>
      <c r="J4654" t="s">
        <v>14391</v>
      </c>
      <c r="K4654">
        <f t="shared" si="72"/>
        <v>276.28674711617765</v>
      </c>
    </row>
    <row r="4655" spans="1:11" x14ac:dyDescent="0.2">
      <c r="A4655" t="s">
        <v>72</v>
      </c>
      <c r="B4655" t="s">
        <v>14256</v>
      </c>
      <c r="C4655" t="s">
        <v>14392</v>
      </c>
      <c r="D4655" t="s">
        <v>14393</v>
      </c>
      <c r="E4655" t="s">
        <v>422</v>
      </c>
      <c r="F4655" t="s">
        <v>12</v>
      </c>
      <c r="G4655" t="s">
        <v>12</v>
      </c>
      <c r="H4655">
        <f>22784*(1.01^10)</f>
        <v>25167.71050536889</v>
      </c>
      <c r="I4655">
        <f>108521*(1.01^10)</f>
        <v>119874.69767174935</v>
      </c>
      <c r="J4655" t="s">
        <v>14394</v>
      </c>
      <c r="K4655">
        <f t="shared" si="72"/>
        <v>602.56144953728801</v>
      </c>
    </row>
    <row r="4656" spans="1:11" x14ac:dyDescent="0.2">
      <c r="A4656" t="s">
        <v>72</v>
      </c>
      <c r="B4656" t="s">
        <v>14256</v>
      </c>
      <c r="C4656" t="s">
        <v>14395</v>
      </c>
      <c r="D4656" t="s">
        <v>14396</v>
      </c>
      <c r="E4656" t="s">
        <v>422</v>
      </c>
      <c r="F4656" t="s">
        <v>24</v>
      </c>
      <c r="G4656" t="s">
        <v>24</v>
      </c>
      <c r="H4656">
        <f>12435*(1.01^10)</f>
        <v>13735.976129488332</v>
      </c>
      <c r="I4656">
        <f>59345*(1.01^10)</f>
        <v>65553.800032527943</v>
      </c>
      <c r="J4656" t="s">
        <v>14397</v>
      </c>
      <c r="K4656">
        <f t="shared" si="72"/>
        <v>269.10751863603031</v>
      </c>
    </row>
    <row r="4657" spans="1:11" x14ac:dyDescent="0.2">
      <c r="A4657" t="s">
        <v>72</v>
      </c>
      <c r="B4657" t="s">
        <v>14256</v>
      </c>
      <c r="C4657" t="s">
        <v>14398</v>
      </c>
      <c r="D4657" t="s">
        <v>14399</v>
      </c>
      <c r="E4657" t="s">
        <v>356</v>
      </c>
      <c r="F4657" t="s">
        <v>17</v>
      </c>
      <c r="G4657" t="s">
        <v>24</v>
      </c>
      <c r="H4657">
        <f>9006*(1.01^10)</f>
        <v>9948.2268614533095</v>
      </c>
      <c r="I4657">
        <f>38768*(1.01^10)</f>
        <v>42823.990557941586</v>
      </c>
      <c r="J4657" t="s">
        <v>14400</v>
      </c>
      <c r="K4657">
        <f t="shared" si="72"/>
        <v>190.21984565775969</v>
      </c>
    </row>
    <row r="4658" spans="1:11" x14ac:dyDescent="0.2">
      <c r="A4658" t="s">
        <v>72</v>
      </c>
      <c r="B4658" t="s">
        <v>14256</v>
      </c>
      <c r="C4658" t="s">
        <v>14401</v>
      </c>
      <c r="D4658" t="s">
        <v>14402</v>
      </c>
      <c r="E4658" t="s">
        <v>44</v>
      </c>
      <c r="F4658" t="s">
        <v>17</v>
      </c>
      <c r="G4658" t="s">
        <v>24</v>
      </c>
      <c r="H4658">
        <f>7837*(1.01^10)</f>
        <v>8656.9235968476114</v>
      </c>
      <c r="I4658">
        <f>34979*(1.01^10)</f>
        <v>38638.577324758531</v>
      </c>
      <c r="J4658" t="s">
        <v>14403</v>
      </c>
      <c r="K4658">
        <f t="shared" si="72"/>
        <v>196.29113341633533</v>
      </c>
    </row>
    <row r="4659" spans="1:11" x14ac:dyDescent="0.2">
      <c r="A4659" t="s">
        <v>72</v>
      </c>
      <c r="B4659" t="s">
        <v>14256</v>
      </c>
      <c r="C4659" t="s">
        <v>14404</v>
      </c>
      <c r="D4659" t="s">
        <v>14405</v>
      </c>
      <c r="E4659" t="s">
        <v>61</v>
      </c>
      <c r="F4659" t="s">
        <v>11</v>
      </c>
      <c r="G4659" t="s">
        <v>24</v>
      </c>
      <c r="H4659">
        <f>11973*(1.01^10)</f>
        <v>13225.640707548355</v>
      </c>
      <c r="I4659">
        <f>56461*(1.01^10)</f>
        <v>62368.06982284203</v>
      </c>
      <c r="J4659" t="s">
        <v>14406</v>
      </c>
      <c r="K4659">
        <f t="shared" si="72"/>
        <v>221.97134496694608</v>
      </c>
    </row>
    <row r="4660" spans="1:11" x14ac:dyDescent="0.2">
      <c r="A4660" t="s">
        <v>72</v>
      </c>
      <c r="B4660" t="s">
        <v>14256</v>
      </c>
      <c r="C4660" t="s">
        <v>14407</v>
      </c>
      <c r="D4660" t="s">
        <v>14408</v>
      </c>
      <c r="E4660" t="s">
        <v>356</v>
      </c>
      <c r="F4660" t="s">
        <v>24</v>
      </c>
      <c r="G4660" t="s">
        <v>24</v>
      </c>
      <c r="H4660">
        <f>9836*(1.01^10)</f>
        <v>10865.063225544611</v>
      </c>
      <c r="I4660">
        <f>44986*(1.01^10)</f>
        <v>49692.530933748458</v>
      </c>
      <c r="J4660" t="s">
        <v>14409</v>
      </c>
      <c r="K4660">
        <f t="shared" si="72"/>
        <v>230.61839777623402</v>
      </c>
    </row>
    <row r="4661" spans="1:11" x14ac:dyDescent="0.2">
      <c r="A4661" t="s">
        <v>72</v>
      </c>
      <c r="B4661" t="s">
        <v>14256</v>
      </c>
      <c r="C4661" t="s">
        <v>14410</v>
      </c>
      <c r="D4661" t="s">
        <v>14411</v>
      </c>
      <c r="E4661" t="s">
        <v>313</v>
      </c>
      <c r="F4661" t="s">
        <v>24</v>
      </c>
      <c r="G4661" t="s">
        <v>24</v>
      </c>
      <c r="H4661">
        <f>13143*(1.01^10)</f>
        <v>14518.048594279464</v>
      </c>
      <c r="I4661">
        <f>60254*(1.01^10)</f>
        <v>66557.901544526729</v>
      </c>
      <c r="J4661" t="s">
        <v>14412</v>
      </c>
      <c r="K4661">
        <f t="shared" si="72"/>
        <v>262.51699315264494</v>
      </c>
    </row>
    <row r="4662" spans="1:11" x14ac:dyDescent="0.2">
      <c r="A4662" t="s">
        <v>72</v>
      </c>
      <c r="B4662" t="s">
        <v>14256</v>
      </c>
      <c r="C4662" t="s">
        <v>14413</v>
      </c>
      <c r="D4662" t="s">
        <v>14414</v>
      </c>
      <c r="E4662" t="s">
        <v>313</v>
      </c>
      <c r="F4662" t="s">
        <v>17</v>
      </c>
      <c r="G4662" t="s">
        <v>24</v>
      </c>
      <c r="H4662">
        <f>15414*(1.01^10)</f>
        <v>17026.645441088309</v>
      </c>
      <c r="I4662">
        <f>68690*(1.01^10)</f>
        <v>75876.493794495647</v>
      </c>
      <c r="J4662" t="s">
        <v>14415</v>
      </c>
      <c r="K4662">
        <f t="shared" si="72"/>
        <v>291.62906741722338</v>
      </c>
    </row>
    <row r="4663" spans="1:11" x14ac:dyDescent="0.2">
      <c r="A4663" t="s">
        <v>72</v>
      </c>
      <c r="B4663" t="s">
        <v>14256</v>
      </c>
      <c r="C4663" t="s">
        <v>14416</v>
      </c>
      <c r="D4663" t="s">
        <v>14417</v>
      </c>
      <c r="E4663" t="s">
        <v>445</v>
      </c>
      <c r="F4663" t="s">
        <v>24</v>
      </c>
      <c r="G4663" t="s">
        <v>12</v>
      </c>
      <c r="H4663">
        <f>24697*(1.01^10)</f>
        <v>27280.852631280522</v>
      </c>
      <c r="I4663">
        <f>114390*(1.01^10)</f>
        <v>126357.72492578771</v>
      </c>
      <c r="J4663" t="s">
        <v>14418</v>
      </c>
      <c r="K4663">
        <f t="shared" si="72"/>
        <v>528.30759929929252</v>
      </c>
    </row>
    <row r="4664" spans="1:11" x14ac:dyDescent="0.2">
      <c r="A4664" t="s">
        <v>72</v>
      </c>
      <c r="B4664" t="s">
        <v>14256</v>
      </c>
      <c r="C4664" t="s">
        <v>14419</v>
      </c>
      <c r="D4664" t="s">
        <v>14420</v>
      </c>
      <c r="E4664" t="s">
        <v>356</v>
      </c>
      <c r="F4664" t="s">
        <v>24</v>
      </c>
      <c r="G4664" t="s">
        <v>24</v>
      </c>
      <c r="H4664">
        <f>11474*(1.01^10)</f>
        <v>12674.434266968163</v>
      </c>
      <c r="I4664">
        <f>52579*(1.01^10)</f>
        <v>58079.926731995736</v>
      </c>
      <c r="J4664" t="s">
        <v>14421</v>
      </c>
      <c r="K4664">
        <f t="shared" si="72"/>
        <v>250.44594462871262</v>
      </c>
    </row>
    <row r="4665" spans="1:11" x14ac:dyDescent="0.2">
      <c r="A4665" t="s">
        <v>72</v>
      </c>
      <c r="B4665" t="s">
        <v>14256</v>
      </c>
      <c r="C4665" t="s">
        <v>14422</v>
      </c>
      <c r="D4665" t="s">
        <v>14423</v>
      </c>
      <c r="E4665" t="s">
        <v>796</v>
      </c>
      <c r="F4665" t="s">
        <v>17</v>
      </c>
      <c r="G4665" t="s">
        <v>24</v>
      </c>
      <c r="H4665">
        <f>14595*(1.01^10)</f>
        <v>16121.959920376534</v>
      </c>
      <c r="I4665">
        <f>72977*(1.01^10)</f>
        <v>80612.008846133482</v>
      </c>
      <c r="J4665" t="s">
        <v>14424</v>
      </c>
      <c r="K4665">
        <f t="shared" si="72"/>
        <v>217.49879567482859</v>
      </c>
    </row>
    <row r="4666" spans="1:11" x14ac:dyDescent="0.2">
      <c r="A4666" t="s">
        <v>72</v>
      </c>
      <c r="B4666" t="s">
        <v>14256</v>
      </c>
      <c r="C4666" t="s">
        <v>14425</v>
      </c>
      <c r="D4666" t="s">
        <v>14426</v>
      </c>
      <c r="E4666" t="s">
        <v>445</v>
      </c>
      <c r="F4666" t="s">
        <v>12</v>
      </c>
      <c r="G4666" t="s">
        <v>24</v>
      </c>
      <c r="H4666">
        <f>17381*(1.01^10)</f>
        <v>19199.437161772148</v>
      </c>
      <c r="I4666">
        <f>85303*(1.01^10)</f>
        <v>94227.581163951996</v>
      </c>
      <c r="J4666" t="s">
        <v>14427</v>
      </c>
      <c r="K4666">
        <f t="shared" si="72"/>
        <v>314.62382692669854</v>
      </c>
    </row>
    <row r="4667" spans="1:11" x14ac:dyDescent="0.2">
      <c r="A4667" t="s">
        <v>72</v>
      </c>
      <c r="B4667" t="s">
        <v>14256</v>
      </c>
      <c r="C4667" t="s">
        <v>14428</v>
      </c>
      <c r="D4667" t="s">
        <v>14429</v>
      </c>
      <c r="E4667" t="s">
        <v>1340</v>
      </c>
      <c r="F4667" t="s">
        <v>24</v>
      </c>
      <c r="G4667" t="s">
        <v>24</v>
      </c>
      <c r="H4667">
        <f>11734*(1.01^10)</f>
        <v>12961.636019575077</v>
      </c>
      <c r="I4667">
        <f>52926*(1.01^10)</f>
        <v>58463.230609513419</v>
      </c>
      <c r="J4667" t="s">
        <v>14430</v>
      </c>
      <c r="K4667">
        <f t="shared" si="72"/>
        <v>210.98732026729121</v>
      </c>
    </row>
    <row r="4668" spans="1:11" x14ac:dyDescent="0.2">
      <c r="A4668" t="s">
        <v>72</v>
      </c>
      <c r="B4668" t="s">
        <v>14256</v>
      </c>
      <c r="C4668" t="s">
        <v>14431</v>
      </c>
      <c r="D4668" t="s">
        <v>14432</v>
      </c>
      <c r="E4668" t="s">
        <v>77</v>
      </c>
      <c r="F4668" t="s">
        <v>12</v>
      </c>
      <c r="G4668" t="s">
        <v>24</v>
      </c>
      <c r="H4668">
        <f>12077*(1.01^10)</f>
        <v>13340.521408591119</v>
      </c>
      <c r="I4668">
        <f>51336*(1.01^10)</f>
        <v>56706.881430109606</v>
      </c>
      <c r="J4668" t="s">
        <v>14433</v>
      </c>
      <c r="K4668">
        <f t="shared" si="72"/>
        <v>185.41357129560194</v>
      </c>
    </row>
    <row r="4669" spans="1:11" x14ac:dyDescent="0.2">
      <c r="A4669" t="s">
        <v>72</v>
      </c>
      <c r="B4669" t="s">
        <v>14256</v>
      </c>
      <c r="C4669" t="s">
        <v>14434</v>
      </c>
      <c r="D4669" t="s">
        <v>14435</v>
      </c>
      <c r="E4669" t="s">
        <v>726</v>
      </c>
      <c r="F4669" t="s">
        <v>11</v>
      </c>
      <c r="G4669" t="s">
        <v>24</v>
      </c>
      <c r="H4669">
        <f>16015*(1.01^10)</f>
        <v>17690.523338460443</v>
      </c>
      <c r="I4669">
        <f>67687*(1.01^10)</f>
        <v>74768.557802708223</v>
      </c>
      <c r="J4669" t="s">
        <v>14436</v>
      </c>
      <c r="K4669">
        <f t="shared" si="72"/>
        <v>113.78160685935767</v>
      </c>
    </row>
    <row r="4670" spans="1:11" x14ac:dyDescent="0.2">
      <c r="A4670" t="s">
        <v>72</v>
      </c>
      <c r="B4670" t="s">
        <v>14256</v>
      </c>
      <c r="C4670" t="s">
        <v>14437</v>
      </c>
      <c r="D4670" t="s">
        <v>14438</v>
      </c>
      <c r="E4670" t="s">
        <v>422</v>
      </c>
      <c r="F4670" t="s">
        <v>24</v>
      </c>
      <c r="G4670" t="s">
        <v>24</v>
      </c>
      <c r="H4670">
        <f>15821*(1.01^10)</f>
        <v>17476.226646130672</v>
      </c>
      <c r="I4670">
        <f>69445*(1.01^10)</f>
        <v>76710.483499181108</v>
      </c>
      <c r="J4670" t="s">
        <v>14439</v>
      </c>
      <c r="K4670">
        <f t="shared" si="72"/>
        <v>251.15529970729892</v>
      </c>
    </row>
    <row r="4671" spans="1:11" x14ac:dyDescent="0.2">
      <c r="A4671" t="s">
        <v>72</v>
      </c>
      <c r="B4671" t="s">
        <v>14256</v>
      </c>
      <c r="C4671" t="s">
        <v>14440</v>
      </c>
      <c r="D4671" t="s">
        <v>14441</v>
      </c>
      <c r="E4671" t="s">
        <v>77</v>
      </c>
      <c r="F4671" t="s">
        <v>92</v>
      </c>
      <c r="G4671" t="s">
        <v>24</v>
      </c>
      <c r="H4671">
        <f>12092*(1.01^10)</f>
        <v>13357.090740472288</v>
      </c>
      <c r="I4671">
        <f>51543*(1.01^10)</f>
        <v>56935.538210069724</v>
      </c>
      <c r="J4671" t="s">
        <v>14442</v>
      </c>
      <c r="K4671">
        <f t="shared" si="72"/>
        <v>182.75387911011171</v>
      </c>
    </row>
    <row r="4672" spans="1:11" x14ac:dyDescent="0.2">
      <c r="A4672" t="s">
        <v>72</v>
      </c>
      <c r="B4672" t="s">
        <v>14256</v>
      </c>
      <c r="C4672" t="s">
        <v>14443</v>
      </c>
      <c r="D4672" t="s">
        <v>14444</v>
      </c>
      <c r="E4672" t="s">
        <v>1340</v>
      </c>
      <c r="F4672" t="s">
        <v>92</v>
      </c>
      <c r="G4672" t="s">
        <v>24</v>
      </c>
      <c r="H4672">
        <f>10364*(1.01^10)</f>
        <v>11448.303707761726</v>
      </c>
      <c r="I4672">
        <f>44882*(1.01^10)</f>
        <v>49577.650232705695</v>
      </c>
      <c r="J4672" t="s">
        <v>14445</v>
      </c>
      <c r="K4672">
        <f t="shared" si="72"/>
        <v>155.16185250970503</v>
      </c>
    </row>
    <row r="4673" spans="1:11" x14ac:dyDescent="0.2">
      <c r="A4673" t="s">
        <v>72</v>
      </c>
      <c r="B4673" t="s">
        <v>2875</v>
      </c>
      <c r="C4673" t="s">
        <v>14446</v>
      </c>
      <c r="D4673" t="s">
        <v>14447</v>
      </c>
      <c r="E4673" t="s">
        <v>61</v>
      </c>
      <c r="F4673" t="s">
        <v>12</v>
      </c>
      <c r="G4673" t="s">
        <v>24</v>
      </c>
      <c r="H4673">
        <f>8951*(1.01^10)</f>
        <v>9887.4726445556935</v>
      </c>
      <c r="I4673">
        <f>37248*(1.01^10)</f>
        <v>41144.964927316556</v>
      </c>
      <c r="J4673" t="s">
        <v>14448</v>
      </c>
      <c r="K4673">
        <f t="shared" si="72"/>
        <v>220.27959470585085</v>
      </c>
    </row>
    <row r="4674" spans="1:11" x14ac:dyDescent="0.2">
      <c r="A4674" t="s">
        <v>72</v>
      </c>
      <c r="B4674" t="s">
        <v>2875</v>
      </c>
      <c r="C4674" t="s">
        <v>14449</v>
      </c>
      <c r="D4674" t="s">
        <v>14450</v>
      </c>
      <c r="E4674" t="s">
        <v>1340</v>
      </c>
      <c r="F4674" t="s">
        <v>12</v>
      </c>
      <c r="G4674" t="s">
        <v>24</v>
      </c>
      <c r="H4674">
        <f>8008*(1.01^10)</f>
        <v>8845.8139802929272</v>
      </c>
      <c r="I4674">
        <f>33797*(1.01^10)</f>
        <v>37332.913972522489</v>
      </c>
      <c r="J4674" t="s">
        <v>14451</v>
      </c>
      <c r="K4674">
        <f t="shared" si="72"/>
        <v>165.54692687996146</v>
      </c>
    </row>
    <row r="4675" spans="1:11" x14ac:dyDescent="0.2">
      <c r="A4675" t="s">
        <v>72</v>
      </c>
      <c r="B4675" t="s">
        <v>2875</v>
      </c>
      <c r="C4675" t="s">
        <v>14452</v>
      </c>
      <c r="D4675" t="s">
        <v>14453</v>
      </c>
      <c r="E4675" t="s">
        <v>445</v>
      </c>
      <c r="F4675" t="s">
        <v>24</v>
      </c>
      <c r="G4675" t="s">
        <v>12</v>
      </c>
      <c r="H4675">
        <f>9077*(1.01^10)</f>
        <v>10026.655032357505</v>
      </c>
      <c r="I4675">
        <f>38454*(1.01^10)</f>
        <v>42477.139210562469</v>
      </c>
      <c r="J4675" t="s">
        <v>14454</v>
      </c>
      <c r="K4675">
        <f t="shared" ref="K4675:K4738" si="73">I4675/J4675</f>
        <v>217.35845255447421</v>
      </c>
    </row>
    <row r="4676" spans="1:11" x14ac:dyDescent="0.2">
      <c r="A4676" t="s">
        <v>72</v>
      </c>
      <c r="B4676" t="s">
        <v>2875</v>
      </c>
      <c r="C4676" t="s">
        <v>14455</v>
      </c>
      <c r="D4676" t="s">
        <v>14456</v>
      </c>
      <c r="E4676" t="s">
        <v>274</v>
      </c>
      <c r="F4676" t="s">
        <v>24</v>
      </c>
      <c r="G4676" t="s">
        <v>12</v>
      </c>
      <c r="H4676">
        <f>13513*(1.01^10)</f>
        <v>14926.75878068161</v>
      </c>
      <c r="I4676">
        <f>54491*(1.01^10)</f>
        <v>60191.964235781961</v>
      </c>
      <c r="J4676" t="s">
        <v>14457</v>
      </c>
      <c r="K4676">
        <f t="shared" si="73"/>
        <v>268.24365559597044</v>
      </c>
    </row>
    <row r="4677" spans="1:11" x14ac:dyDescent="0.2">
      <c r="A4677" t="s">
        <v>72</v>
      </c>
      <c r="B4677" t="s">
        <v>2875</v>
      </c>
      <c r="C4677" t="s">
        <v>14458</v>
      </c>
      <c r="D4677" t="s">
        <v>14459</v>
      </c>
      <c r="E4677" t="s">
        <v>318</v>
      </c>
      <c r="F4677" t="s">
        <v>24</v>
      </c>
      <c r="G4677" t="s">
        <v>24</v>
      </c>
      <c r="H4677">
        <f>12361*(1.01^10)</f>
        <v>13654.234092207902</v>
      </c>
      <c r="I4677">
        <f>47365*(1.01^10)</f>
        <v>52320.426970101711</v>
      </c>
      <c r="J4677" t="s">
        <v>14460</v>
      </c>
      <c r="K4677">
        <f t="shared" si="73"/>
        <v>277.81830163424581</v>
      </c>
    </row>
    <row r="4678" spans="1:11" x14ac:dyDescent="0.2">
      <c r="A4678" t="s">
        <v>72</v>
      </c>
      <c r="B4678" t="s">
        <v>2875</v>
      </c>
      <c r="C4678" t="s">
        <v>14461</v>
      </c>
      <c r="D4678" t="s">
        <v>14462</v>
      </c>
      <c r="E4678" t="s">
        <v>422</v>
      </c>
      <c r="F4678" t="s">
        <v>24</v>
      </c>
      <c r="G4678" t="s">
        <v>24</v>
      </c>
      <c r="H4678">
        <f>9122*(1.01^10)</f>
        <v>10076.363028001009</v>
      </c>
      <c r="I4678">
        <f>36190*(1.01^10)</f>
        <v>39976.274718631503</v>
      </c>
      <c r="J4678" t="s">
        <v>14463</v>
      </c>
      <c r="K4678">
        <f t="shared" si="73"/>
        <v>203.91821649704499</v>
      </c>
    </row>
    <row r="4679" spans="1:11" x14ac:dyDescent="0.2">
      <c r="A4679" t="s">
        <v>72</v>
      </c>
      <c r="B4679" t="s">
        <v>2875</v>
      </c>
      <c r="C4679" t="s">
        <v>14464</v>
      </c>
      <c r="D4679" t="s">
        <v>14465</v>
      </c>
      <c r="E4679" t="s">
        <v>44</v>
      </c>
      <c r="F4679" t="s">
        <v>24</v>
      </c>
      <c r="G4679" t="s">
        <v>24</v>
      </c>
      <c r="H4679">
        <f>11890*(1.01^10)</f>
        <v>13133.957071139224</v>
      </c>
      <c r="I4679">
        <f>47657*(1.01^10)</f>
        <v>52642.976630721787</v>
      </c>
      <c r="J4679" t="s">
        <v>14466</v>
      </c>
      <c r="K4679">
        <f t="shared" si="73"/>
        <v>325.9535812640035</v>
      </c>
    </row>
    <row r="4680" spans="1:11" x14ac:dyDescent="0.2">
      <c r="A4680" t="s">
        <v>72</v>
      </c>
      <c r="B4680" t="s">
        <v>2875</v>
      </c>
      <c r="C4680" t="s">
        <v>14467</v>
      </c>
      <c r="D4680" t="s">
        <v>14468</v>
      </c>
      <c r="E4680" t="s">
        <v>422</v>
      </c>
      <c r="F4680" t="s">
        <v>24</v>
      </c>
      <c r="G4680" t="s">
        <v>24</v>
      </c>
      <c r="H4680">
        <f>14140*(1.01^10)</f>
        <v>15619.356853314435</v>
      </c>
      <c r="I4680">
        <f>57905*(1.01^10)</f>
        <v>63963.144171935812</v>
      </c>
      <c r="J4680" t="s">
        <v>14469</v>
      </c>
      <c r="K4680">
        <f t="shared" si="73"/>
        <v>305.39153080537795</v>
      </c>
    </row>
    <row r="4681" spans="1:11" x14ac:dyDescent="0.2">
      <c r="A4681" t="s">
        <v>72</v>
      </c>
      <c r="B4681" t="s">
        <v>2875</v>
      </c>
      <c r="C4681" t="s">
        <v>14470</v>
      </c>
      <c r="D4681" t="s">
        <v>14471</v>
      </c>
      <c r="E4681" t="s">
        <v>1340</v>
      </c>
      <c r="F4681" t="s">
        <v>12</v>
      </c>
      <c r="G4681" t="s">
        <v>24</v>
      </c>
      <c r="H4681">
        <f>14559*(1.01^10)</f>
        <v>16082.19352386173</v>
      </c>
      <c r="I4681">
        <f>56991*(1.01^10)</f>
        <v>62953.519549309967</v>
      </c>
      <c r="J4681" t="s">
        <v>14472</v>
      </c>
      <c r="K4681">
        <f t="shared" si="73"/>
        <v>276.87466664421487</v>
      </c>
    </row>
    <row r="4682" spans="1:11" x14ac:dyDescent="0.2">
      <c r="A4682" t="s">
        <v>72</v>
      </c>
      <c r="B4682" t="s">
        <v>2875</v>
      </c>
      <c r="C4682" t="s">
        <v>14473</v>
      </c>
      <c r="D4682" t="s">
        <v>14474</v>
      </c>
      <c r="E4682" t="s">
        <v>356</v>
      </c>
      <c r="F4682" t="s">
        <v>12</v>
      </c>
      <c r="G4682" t="s">
        <v>24</v>
      </c>
      <c r="H4682">
        <f>13067*(1.01^10)</f>
        <v>14434.097312748212</v>
      </c>
      <c r="I4682">
        <f>50970*(1.01^10)</f>
        <v>56302.589732209104</v>
      </c>
      <c r="J4682" t="s">
        <v>14475</v>
      </c>
      <c r="K4682">
        <f t="shared" si="73"/>
        <v>277.0927706397909</v>
      </c>
    </row>
    <row r="4683" spans="1:11" x14ac:dyDescent="0.2">
      <c r="A4683" t="s">
        <v>72</v>
      </c>
      <c r="B4683" t="s">
        <v>2875</v>
      </c>
      <c r="C4683" t="s">
        <v>14476</v>
      </c>
      <c r="D4683" t="s">
        <v>14477</v>
      </c>
      <c r="E4683" t="s">
        <v>318</v>
      </c>
      <c r="F4683" t="s">
        <v>12</v>
      </c>
      <c r="G4683" t="s">
        <v>24</v>
      </c>
      <c r="H4683">
        <f>10263*(1.01^10)</f>
        <v>11336.736873095195</v>
      </c>
      <c r="I4683">
        <f>40785*(1.01^10)</f>
        <v>45052.013384895989</v>
      </c>
      <c r="J4683" t="s">
        <v>14478</v>
      </c>
      <c r="K4683">
        <f t="shared" si="73"/>
        <v>223.22409470429318</v>
      </c>
    </row>
    <row r="4684" spans="1:11" x14ac:dyDescent="0.2">
      <c r="A4684" t="s">
        <v>72</v>
      </c>
      <c r="B4684" t="s">
        <v>2875</v>
      </c>
      <c r="C4684" t="s">
        <v>14479</v>
      </c>
      <c r="D4684" t="s">
        <v>14480</v>
      </c>
      <c r="E4684" t="s">
        <v>356</v>
      </c>
      <c r="F4684" t="s">
        <v>12</v>
      </c>
      <c r="G4684" t="s">
        <v>24</v>
      </c>
      <c r="H4684">
        <f>12129*(1.01^10)</f>
        <v>13397.961759112502</v>
      </c>
      <c r="I4684">
        <f>47075*(1.01^10)</f>
        <v>52000.086553732464</v>
      </c>
      <c r="J4684" t="s">
        <v>14481</v>
      </c>
      <c r="K4684">
        <f t="shared" si="73"/>
        <v>273.32930381509379</v>
      </c>
    </row>
    <row r="4685" spans="1:11" x14ac:dyDescent="0.2">
      <c r="A4685" t="s">
        <v>72</v>
      </c>
      <c r="B4685" t="s">
        <v>2875</v>
      </c>
      <c r="C4685" t="s">
        <v>14482</v>
      </c>
      <c r="D4685" t="s">
        <v>14483</v>
      </c>
      <c r="E4685" t="s">
        <v>61</v>
      </c>
      <c r="F4685" t="s">
        <v>24</v>
      </c>
      <c r="G4685" t="s">
        <v>24</v>
      </c>
      <c r="H4685">
        <f>14324*(1.01^10)</f>
        <v>15822.607324390097</v>
      </c>
      <c r="I4685">
        <f>55694*(1.01^10)</f>
        <v>61520.824652651638</v>
      </c>
      <c r="J4685" t="s">
        <v>14484</v>
      </c>
      <c r="K4685">
        <f t="shared" si="73"/>
        <v>223.94178470432666</v>
      </c>
    </row>
    <row r="4686" spans="1:11" x14ac:dyDescent="0.2">
      <c r="A4686" t="s">
        <v>72</v>
      </c>
      <c r="B4686" t="s">
        <v>2875</v>
      </c>
      <c r="C4686" t="s">
        <v>14485</v>
      </c>
      <c r="D4686" t="s">
        <v>14486</v>
      </c>
      <c r="E4686" t="s">
        <v>422</v>
      </c>
      <c r="F4686" t="s">
        <v>12</v>
      </c>
      <c r="G4686" t="s">
        <v>24</v>
      </c>
      <c r="H4686">
        <f>9781*(1.01^10)</f>
        <v>10804.309008646993</v>
      </c>
      <c r="I4686">
        <f>39194*(1.01^10)</f>
        <v>43294.559583366761</v>
      </c>
      <c r="J4686" t="s">
        <v>14487</v>
      </c>
      <c r="K4686">
        <f t="shared" si="73"/>
        <v>191.94793100883805</v>
      </c>
    </row>
    <row r="4687" spans="1:11" x14ac:dyDescent="0.2">
      <c r="A4687" t="s">
        <v>72</v>
      </c>
      <c r="B4687" t="s">
        <v>2875</v>
      </c>
      <c r="C4687" t="s">
        <v>14488</v>
      </c>
      <c r="D4687" t="s">
        <v>14489</v>
      </c>
      <c r="E4687" t="s">
        <v>313</v>
      </c>
      <c r="F4687" t="s">
        <v>12</v>
      </c>
      <c r="G4687" t="s">
        <v>24</v>
      </c>
      <c r="H4687">
        <f>13885*(1.01^10)</f>
        <v>15337.678211334578</v>
      </c>
      <c r="I4687">
        <f>56098*(1.01^10)</f>
        <v>61967.091991317764</v>
      </c>
      <c r="J4687" t="s">
        <v>14490</v>
      </c>
      <c r="K4687">
        <f t="shared" si="73"/>
        <v>211.37844238797436</v>
      </c>
    </row>
    <row r="4688" spans="1:11" x14ac:dyDescent="0.2">
      <c r="A4688" t="s">
        <v>72</v>
      </c>
      <c r="B4688" t="s">
        <v>2875</v>
      </c>
      <c r="C4688" t="s">
        <v>14491</v>
      </c>
      <c r="D4688" t="s">
        <v>14492</v>
      </c>
      <c r="E4688" t="s">
        <v>427</v>
      </c>
      <c r="F4688" t="s">
        <v>24</v>
      </c>
      <c r="G4688" t="s">
        <v>12</v>
      </c>
      <c r="H4688">
        <f>24435*(1.01^10)</f>
        <v>26991.441634422787</v>
      </c>
      <c r="I4688">
        <f>103538*(1.01^10)</f>
        <v>114370.36562082532</v>
      </c>
      <c r="J4688" t="s">
        <v>14493</v>
      </c>
      <c r="K4688">
        <f t="shared" si="73"/>
        <v>443.37644046388499</v>
      </c>
    </row>
    <row r="4689" spans="1:11" x14ac:dyDescent="0.2">
      <c r="A4689" t="s">
        <v>72</v>
      </c>
      <c r="B4689" t="s">
        <v>2875</v>
      </c>
      <c r="C4689" t="s">
        <v>14494</v>
      </c>
      <c r="D4689" t="s">
        <v>14495</v>
      </c>
      <c r="E4689" t="s">
        <v>726</v>
      </c>
      <c r="F4689" t="s">
        <v>24</v>
      </c>
      <c r="G4689" t="s">
        <v>12</v>
      </c>
      <c r="H4689">
        <f>11593*(1.01^10)</f>
        <v>12805.884299892097</v>
      </c>
      <c r="I4689">
        <f>48498*(1.01^10)</f>
        <v>53571.963838192605</v>
      </c>
      <c r="J4689" t="s">
        <v>14496</v>
      </c>
      <c r="K4689">
        <f t="shared" si="73"/>
        <v>268.01708472234935</v>
      </c>
    </row>
    <row r="4690" spans="1:11" x14ac:dyDescent="0.2">
      <c r="A4690" t="s">
        <v>72</v>
      </c>
      <c r="B4690" t="s">
        <v>2875</v>
      </c>
      <c r="C4690" t="s">
        <v>14497</v>
      </c>
      <c r="D4690" t="s">
        <v>14498</v>
      </c>
      <c r="E4690" t="s">
        <v>796</v>
      </c>
      <c r="F4690" t="s">
        <v>24</v>
      </c>
      <c r="G4690" t="s">
        <v>12</v>
      </c>
      <c r="H4690">
        <f>11997*(1.01^10)</f>
        <v>13252.151638558224</v>
      </c>
      <c r="I4690">
        <f>51061*(1.01^10)</f>
        <v>56403.110345621528</v>
      </c>
      <c r="J4690" t="s">
        <v>14499</v>
      </c>
      <c r="K4690">
        <f t="shared" si="73"/>
        <v>306.09211704484727</v>
      </c>
    </row>
    <row r="4691" spans="1:11" x14ac:dyDescent="0.2">
      <c r="A4691" t="s">
        <v>72</v>
      </c>
      <c r="B4691" t="s">
        <v>2875</v>
      </c>
      <c r="C4691" t="s">
        <v>14500</v>
      </c>
      <c r="D4691" t="s">
        <v>14501</v>
      </c>
      <c r="E4691" t="s">
        <v>44</v>
      </c>
      <c r="F4691" t="s">
        <v>24</v>
      </c>
      <c r="G4691" t="s">
        <v>12</v>
      </c>
      <c r="H4691">
        <f>17812*(1.01^10)</f>
        <v>19675.529297824378</v>
      </c>
      <c r="I4691">
        <f>73336*(1.01^10)</f>
        <v>81008.568189156111</v>
      </c>
      <c r="J4691" t="s">
        <v>14502</v>
      </c>
      <c r="K4691">
        <f t="shared" si="73"/>
        <v>292.48389853321595</v>
      </c>
    </row>
    <row r="4692" spans="1:11" x14ac:dyDescent="0.2">
      <c r="A4692" t="s">
        <v>72</v>
      </c>
      <c r="B4692" t="s">
        <v>2875</v>
      </c>
      <c r="C4692" t="s">
        <v>14503</v>
      </c>
      <c r="D4692" t="s">
        <v>14504</v>
      </c>
      <c r="E4692" t="s">
        <v>422</v>
      </c>
      <c r="F4692" t="s">
        <v>24</v>
      </c>
      <c r="G4692" t="s">
        <v>12</v>
      </c>
      <c r="H4692">
        <f>12788*(1.01^10)</f>
        <v>14125.907739758486</v>
      </c>
      <c r="I4692">
        <f>51534*(1.01^10)</f>
        <v>56925.596610941022</v>
      </c>
      <c r="J4692" t="s">
        <v>14505</v>
      </c>
      <c r="K4692">
        <f t="shared" si="73"/>
        <v>229.92999996389469</v>
      </c>
    </row>
    <row r="4693" spans="1:11" x14ac:dyDescent="0.2">
      <c r="A4693" t="s">
        <v>72</v>
      </c>
      <c r="B4693" t="s">
        <v>2875</v>
      </c>
      <c r="C4693" t="s">
        <v>14506</v>
      </c>
      <c r="D4693" t="s">
        <v>14507</v>
      </c>
      <c r="E4693" t="s">
        <v>274</v>
      </c>
      <c r="F4693" t="s">
        <v>24</v>
      </c>
      <c r="G4693" t="s">
        <v>12</v>
      </c>
      <c r="H4693">
        <f>13937*(1.01^10)</f>
        <v>15395.118561855961</v>
      </c>
      <c r="I4693">
        <f>55600*(1.01^10)</f>
        <v>61416.990172862985</v>
      </c>
      <c r="J4693" t="s">
        <v>14508</v>
      </c>
      <c r="K4693">
        <f t="shared" si="73"/>
        <v>275.97706613284851</v>
      </c>
    </row>
    <row r="4694" spans="1:11" x14ac:dyDescent="0.2">
      <c r="A4694" t="s">
        <v>72</v>
      </c>
      <c r="B4694" t="s">
        <v>2875</v>
      </c>
      <c r="C4694" t="s">
        <v>14509</v>
      </c>
      <c r="D4694" t="s">
        <v>14510</v>
      </c>
      <c r="E4694" t="s">
        <v>356</v>
      </c>
      <c r="F4694" t="s">
        <v>24</v>
      </c>
      <c r="G4694" t="s">
        <v>24</v>
      </c>
      <c r="H4694">
        <f>12770*(1.01^10)</f>
        <v>14106.024541501085</v>
      </c>
      <c r="I4694">
        <f>50864*(1.01^10)</f>
        <v>56185.49978691552</v>
      </c>
      <c r="J4694" t="s">
        <v>14511</v>
      </c>
      <c r="K4694">
        <f t="shared" si="73"/>
        <v>276.88046138542512</v>
      </c>
    </row>
    <row r="4695" spans="1:11" x14ac:dyDescent="0.2">
      <c r="A4695" t="s">
        <v>72</v>
      </c>
      <c r="B4695" t="s">
        <v>2875</v>
      </c>
      <c r="C4695" t="s">
        <v>14512</v>
      </c>
      <c r="D4695" t="s">
        <v>14513</v>
      </c>
      <c r="E4695" t="s">
        <v>445</v>
      </c>
      <c r="F4695" t="s">
        <v>24</v>
      </c>
      <c r="G4695" t="s">
        <v>24</v>
      </c>
      <c r="H4695">
        <f>11451*(1.01^10)</f>
        <v>12649.027958083705</v>
      </c>
      <c r="I4695">
        <f>46831*(1.01^10)</f>
        <v>51730.55875513213</v>
      </c>
      <c r="J4695" t="s">
        <v>14514</v>
      </c>
      <c r="K4695">
        <f t="shared" si="73"/>
        <v>296.85339256601458</v>
      </c>
    </row>
    <row r="4696" spans="1:11" x14ac:dyDescent="0.2">
      <c r="A4696" t="s">
        <v>72</v>
      </c>
      <c r="B4696" t="s">
        <v>2875</v>
      </c>
      <c r="C4696" t="s">
        <v>14515</v>
      </c>
      <c r="D4696" t="s">
        <v>14516</v>
      </c>
      <c r="E4696" t="s">
        <v>274</v>
      </c>
      <c r="F4696" t="s">
        <v>24</v>
      </c>
      <c r="G4696" t="s">
        <v>12</v>
      </c>
      <c r="H4696">
        <f>15588*(1.01^10)</f>
        <v>17218.849690909861</v>
      </c>
      <c r="I4696">
        <f>60758*(1.01^10)</f>
        <v>67114.631095733974</v>
      </c>
      <c r="J4696" t="s">
        <v>14517</v>
      </c>
      <c r="K4696">
        <f t="shared" si="73"/>
        <v>491.90002257332844</v>
      </c>
    </row>
    <row r="4697" spans="1:11" x14ac:dyDescent="0.2">
      <c r="A4697" t="s">
        <v>72</v>
      </c>
      <c r="B4697" t="s">
        <v>2875</v>
      </c>
      <c r="C4697" t="s">
        <v>14518</v>
      </c>
      <c r="D4697" t="s">
        <v>14519</v>
      </c>
      <c r="E4697" t="s">
        <v>458</v>
      </c>
      <c r="F4697" t="s">
        <v>24</v>
      </c>
      <c r="G4697" t="s">
        <v>24</v>
      </c>
      <c r="H4697">
        <f>9829*(1.01^10)</f>
        <v>10857.330870666732</v>
      </c>
      <c r="I4697">
        <f>37533*(1.01^10)</f>
        <v>41459.782233058744</v>
      </c>
      <c r="J4697" t="s">
        <v>14520</v>
      </c>
      <c r="K4697">
        <f t="shared" si="73"/>
        <v>279.52007956397762</v>
      </c>
    </row>
    <row r="4698" spans="1:11" x14ac:dyDescent="0.2">
      <c r="A4698" t="s">
        <v>72</v>
      </c>
      <c r="B4698" t="s">
        <v>2875</v>
      </c>
      <c r="C4698" t="s">
        <v>14521</v>
      </c>
      <c r="D4698" t="s">
        <v>14522</v>
      </c>
      <c r="E4698" t="s">
        <v>274</v>
      </c>
      <c r="F4698" t="s">
        <v>11</v>
      </c>
      <c r="G4698" t="s">
        <v>12</v>
      </c>
      <c r="H4698">
        <f>38012*(1.01^10)</f>
        <v>41988.896231130711</v>
      </c>
      <c r="I4698">
        <f>155422*(1.01^10)</f>
        <v>171682.57997566025</v>
      </c>
      <c r="J4698" t="s">
        <v>14523</v>
      </c>
      <c r="K4698">
        <f t="shared" si="73"/>
        <v>852.78114347542999</v>
      </c>
    </row>
    <row r="4699" spans="1:11" x14ac:dyDescent="0.2">
      <c r="A4699" t="s">
        <v>72</v>
      </c>
      <c r="B4699" t="s">
        <v>2875</v>
      </c>
      <c r="C4699" t="s">
        <v>14524</v>
      </c>
      <c r="D4699" t="s">
        <v>14525</v>
      </c>
      <c r="E4699" t="s">
        <v>274</v>
      </c>
      <c r="F4699" t="s">
        <v>24</v>
      </c>
      <c r="G4699" t="s">
        <v>24</v>
      </c>
      <c r="H4699">
        <f>12010*(1.01^10)</f>
        <v>13266.51172618857</v>
      </c>
      <c r="I4699">
        <f>47835*(1.01^10)</f>
        <v>52839.599369044976</v>
      </c>
      <c r="J4699" t="s">
        <v>14526</v>
      </c>
      <c r="K4699">
        <f t="shared" si="73"/>
        <v>348.56562052514812</v>
      </c>
    </row>
    <row r="4700" spans="1:11" x14ac:dyDescent="0.2">
      <c r="A4700" t="s">
        <v>72</v>
      </c>
      <c r="B4700" t="s">
        <v>2875</v>
      </c>
      <c r="C4700" t="s">
        <v>14527</v>
      </c>
      <c r="D4700" t="s">
        <v>14528</v>
      </c>
      <c r="E4700" t="s">
        <v>274</v>
      </c>
      <c r="F4700" t="s">
        <v>17</v>
      </c>
      <c r="G4700" t="s">
        <v>24</v>
      </c>
      <c r="H4700">
        <f>11676*(1.01^10)</f>
        <v>12897.567936301226</v>
      </c>
      <c r="I4700">
        <f>44132*(1.01^10)</f>
        <v>48749.183638647286</v>
      </c>
      <c r="J4700" t="s">
        <v>14529</v>
      </c>
      <c r="K4700">
        <f t="shared" si="73"/>
        <v>233.27890025637859</v>
      </c>
    </row>
    <row r="4701" spans="1:11" x14ac:dyDescent="0.2">
      <c r="A4701" t="s">
        <v>72</v>
      </c>
      <c r="B4701" t="s">
        <v>2875</v>
      </c>
      <c r="C4701" t="s">
        <v>14530</v>
      </c>
      <c r="D4701" t="s">
        <v>14531</v>
      </c>
      <c r="E4701" t="s">
        <v>44</v>
      </c>
      <c r="F4701" t="s">
        <v>24</v>
      </c>
      <c r="G4701" t="s">
        <v>24</v>
      </c>
      <c r="H4701">
        <f>10591*(1.01^10)</f>
        <v>11699.052930230069</v>
      </c>
      <c r="I4701">
        <f>39335*(1.01^10)</f>
        <v>43450.311303049741</v>
      </c>
      <c r="J4701" t="s">
        <v>14532</v>
      </c>
      <c r="K4701">
        <f t="shared" si="73"/>
        <v>246.76289029985128</v>
      </c>
    </row>
    <row r="4702" spans="1:11" x14ac:dyDescent="0.2">
      <c r="A4702" t="s">
        <v>72</v>
      </c>
      <c r="B4702" t="s">
        <v>2875</v>
      </c>
      <c r="C4702" t="s">
        <v>14533</v>
      </c>
      <c r="D4702" t="s">
        <v>14534</v>
      </c>
      <c r="E4702" t="s">
        <v>108</v>
      </c>
      <c r="F4702" t="s">
        <v>24</v>
      </c>
      <c r="G4702" t="s">
        <v>24</v>
      </c>
      <c r="H4702">
        <f>11988*(1.01^10)</f>
        <v>13242.210039429523</v>
      </c>
      <c r="I4702">
        <f>43824*(1.01^10)</f>
        <v>48408.960024020635</v>
      </c>
      <c r="J4702" t="s">
        <v>14535</v>
      </c>
      <c r="K4702">
        <f t="shared" si="73"/>
        <v>347.68133972318321</v>
      </c>
    </row>
    <row r="4703" spans="1:11" x14ac:dyDescent="0.2">
      <c r="A4703" t="s">
        <v>72</v>
      </c>
      <c r="B4703" t="s">
        <v>2875</v>
      </c>
      <c r="C4703" t="s">
        <v>14536</v>
      </c>
      <c r="D4703" t="s">
        <v>14537</v>
      </c>
      <c r="E4703" t="s">
        <v>44</v>
      </c>
      <c r="F4703" t="s">
        <v>12</v>
      </c>
      <c r="G4703" t="s">
        <v>24</v>
      </c>
      <c r="H4703">
        <f>10313*(1.01^10)</f>
        <v>11391.967979365754</v>
      </c>
      <c r="I4703">
        <f>39624*(1.01^10)</f>
        <v>43769.54709729358</v>
      </c>
      <c r="J4703" t="s">
        <v>14538</v>
      </c>
      <c r="K4703">
        <f t="shared" si="73"/>
        <v>260.23571660974778</v>
      </c>
    </row>
    <row r="4704" spans="1:11" x14ac:dyDescent="0.2">
      <c r="A4704" t="s">
        <v>72</v>
      </c>
      <c r="B4704" t="s">
        <v>2875</v>
      </c>
      <c r="C4704" t="s">
        <v>14539</v>
      </c>
      <c r="D4704" t="s">
        <v>14540</v>
      </c>
      <c r="E4704" t="s">
        <v>61</v>
      </c>
      <c r="F4704" t="s">
        <v>24</v>
      </c>
      <c r="G4704" t="s">
        <v>24</v>
      </c>
      <c r="H4704">
        <f>12068*(1.01^10)</f>
        <v>13330.579809462419</v>
      </c>
      <c r="I4704">
        <f>44539*(1.01^10)</f>
        <v>49198.764843689649</v>
      </c>
      <c r="J4704" t="s">
        <v>14541</v>
      </c>
      <c r="K4704">
        <f t="shared" si="73"/>
        <v>232.95676364541643</v>
      </c>
    </row>
    <row r="4705" spans="1:11" x14ac:dyDescent="0.2">
      <c r="A4705" t="s">
        <v>72</v>
      </c>
      <c r="B4705" t="s">
        <v>2875</v>
      </c>
      <c r="C4705" t="s">
        <v>14542</v>
      </c>
      <c r="D4705" t="s">
        <v>14543</v>
      </c>
      <c r="E4705" t="s">
        <v>356</v>
      </c>
      <c r="F4705" t="s">
        <v>24</v>
      </c>
      <c r="G4705" t="s">
        <v>24</v>
      </c>
      <c r="H4705">
        <f>12248*(1.01^10)</f>
        <v>13529.411792036435</v>
      </c>
      <c r="I4705">
        <f>47788*(1.01^10)</f>
        <v>52787.682129150649</v>
      </c>
      <c r="J4705" t="s">
        <v>14544</v>
      </c>
      <c r="K4705">
        <f t="shared" si="73"/>
        <v>212.90722854933244</v>
      </c>
    </row>
    <row r="4706" spans="1:11" x14ac:dyDescent="0.2">
      <c r="A4706" t="s">
        <v>72</v>
      </c>
      <c r="B4706" t="s">
        <v>2875</v>
      </c>
      <c r="C4706" t="s">
        <v>14545</v>
      </c>
      <c r="D4706" t="s">
        <v>14546</v>
      </c>
      <c r="E4706" t="s">
        <v>61</v>
      </c>
      <c r="F4706" t="s">
        <v>12</v>
      </c>
      <c r="G4706" t="s">
        <v>12</v>
      </c>
      <c r="H4706">
        <f>48501*(1.01^10)</f>
        <v>53575.277704568842</v>
      </c>
      <c r="I4706">
        <f>200067*(1.01^10)</f>
        <v>220998.43476464349</v>
      </c>
      <c r="J4706" t="s">
        <v>14547</v>
      </c>
      <c r="K4706">
        <f t="shared" si="73"/>
        <v>752.03835853689577</v>
      </c>
    </row>
    <row r="4707" spans="1:11" x14ac:dyDescent="0.2">
      <c r="A4707" t="s">
        <v>72</v>
      </c>
      <c r="B4707" t="s">
        <v>2875</v>
      </c>
      <c r="C4707" t="s">
        <v>14548</v>
      </c>
      <c r="D4707" t="s">
        <v>14549</v>
      </c>
      <c r="E4707" t="s">
        <v>1340</v>
      </c>
      <c r="F4707" t="s">
        <v>12</v>
      </c>
      <c r="G4707" t="s">
        <v>24</v>
      </c>
      <c r="H4707">
        <f>11269*(1.01^10)</f>
        <v>12447.986731258867</v>
      </c>
      <c r="I4707">
        <f>45477*(1.01^10)</f>
        <v>50234.900397325357</v>
      </c>
      <c r="J4707" t="s">
        <v>14550</v>
      </c>
      <c r="K4707">
        <f t="shared" si="73"/>
        <v>200.279433045709</v>
      </c>
    </row>
    <row r="4708" spans="1:11" x14ac:dyDescent="0.2">
      <c r="A4708" t="s">
        <v>72</v>
      </c>
      <c r="B4708" t="s">
        <v>2875</v>
      </c>
      <c r="C4708" t="s">
        <v>14551</v>
      </c>
      <c r="D4708" t="s">
        <v>14552</v>
      </c>
      <c r="E4708" t="s">
        <v>318</v>
      </c>
      <c r="F4708" t="s">
        <v>24</v>
      </c>
      <c r="G4708" t="s">
        <v>24</v>
      </c>
      <c r="H4708">
        <f>10873*(1.01^10)</f>
        <v>12010.55636959603</v>
      </c>
      <c r="I4708">
        <f>44335*(1.01^10)</f>
        <v>48973.42193010576</v>
      </c>
      <c r="J4708" t="s">
        <v>14553</v>
      </c>
      <c r="K4708">
        <f t="shared" si="73"/>
        <v>169.17748828811457</v>
      </c>
    </row>
    <row r="4709" spans="1:11" x14ac:dyDescent="0.2">
      <c r="A4709" t="s">
        <v>72</v>
      </c>
      <c r="B4709" t="s">
        <v>2875</v>
      </c>
      <c r="C4709" t="s">
        <v>14554</v>
      </c>
      <c r="D4709" t="s">
        <v>14555</v>
      </c>
      <c r="E4709" t="s">
        <v>411</v>
      </c>
      <c r="F4709" t="s">
        <v>24</v>
      </c>
      <c r="G4709" t="s">
        <v>24</v>
      </c>
      <c r="H4709">
        <f>9031*(1.01^10)</f>
        <v>9975.8424145885892</v>
      </c>
      <c r="I4709">
        <f>36968*(1.01^10)</f>
        <v>40835.670732201419</v>
      </c>
      <c r="J4709" t="s">
        <v>14556</v>
      </c>
      <c r="K4709">
        <f t="shared" si="73"/>
        <v>154.82901543003132</v>
      </c>
    </row>
    <row r="4710" spans="1:11" x14ac:dyDescent="0.2">
      <c r="A4710" t="s">
        <v>72</v>
      </c>
      <c r="B4710" t="s">
        <v>2875</v>
      </c>
      <c r="C4710" t="s">
        <v>14557</v>
      </c>
      <c r="D4710" t="s">
        <v>14558</v>
      </c>
      <c r="E4710" t="s">
        <v>796</v>
      </c>
      <c r="F4710" t="s">
        <v>24</v>
      </c>
      <c r="G4710" t="s">
        <v>24</v>
      </c>
      <c r="H4710">
        <f>10907*(1.01^10)</f>
        <v>12048.11352186001</v>
      </c>
      <c r="I4710">
        <f>45058*(1.01^10)</f>
        <v>49772.063726778062</v>
      </c>
      <c r="J4710" t="s">
        <v>14559</v>
      </c>
      <c r="K4710">
        <f t="shared" si="73"/>
        <v>146.67656886764411</v>
      </c>
    </row>
    <row r="4711" spans="1:11" x14ac:dyDescent="0.2">
      <c r="A4711" t="s">
        <v>72</v>
      </c>
      <c r="B4711" t="s">
        <v>2875</v>
      </c>
      <c r="C4711" t="s">
        <v>14560</v>
      </c>
      <c r="D4711" t="s">
        <v>14561</v>
      </c>
      <c r="E4711" t="s">
        <v>356</v>
      </c>
      <c r="F4711" t="s">
        <v>11</v>
      </c>
      <c r="G4711" t="s">
        <v>24</v>
      </c>
      <c r="H4711">
        <f>10372*(1.01^10)</f>
        <v>11457.140684765016</v>
      </c>
      <c r="I4711">
        <f>46380*(1.01^10)</f>
        <v>51232.374176571677</v>
      </c>
      <c r="J4711" t="s">
        <v>14562</v>
      </c>
      <c r="K4711">
        <f t="shared" si="73"/>
        <v>154.61214983249403</v>
      </c>
    </row>
    <row r="4712" spans="1:11" x14ac:dyDescent="0.2">
      <c r="A4712" t="s">
        <v>72</v>
      </c>
      <c r="B4712" t="s">
        <v>2875</v>
      </c>
      <c r="C4712" t="s">
        <v>14563</v>
      </c>
      <c r="D4712" t="s">
        <v>14564</v>
      </c>
      <c r="E4712" t="s">
        <v>61</v>
      </c>
      <c r="F4712" t="s">
        <v>24</v>
      </c>
      <c r="G4712" t="s">
        <v>24</v>
      </c>
      <c r="H4712">
        <f>12009*(1.01^10)</f>
        <v>13265.407104063157</v>
      </c>
      <c r="I4712">
        <f>51408*(1.01^10)</f>
        <v>56786.414223139211</v>
      </c>
      <c r="J4712" t="s">
        <v>14565</v>
      </c>
      <c r="K4712">
        <f t="shared" si="73"/>
        <v>83.157740002604157</v>
      </c>
    </row>
    <row r="4713" spans="1:11" x14ac:dyDescent="0.2">
      <c r="A4713" t="s">
        <v>72</v>
      </c>
      <c r="B4713" t="s">
        <v>2875</v>
      </c>
      <c r="C4713" t="s">
        <v>14566</v>
      </c>
      <c r="D4713" t="s">
        <v>14567</v>
      </c>
      <c r="E4713" t="s">
        <v>427</v>
      </c>
      <c r="F4713" t="s">
        <v>12</v>
      </c>
      <c r="G4713" t="s">
        <v>17</v>
      </c>
      <c r="H4713">
        <f>22355*(1.01^10)</f>
        <v>24693.827613567482</v>
      </c>
      <c r="I4713">
        <f>99384*(1.01^10)</f>
        <v>109781.76531186717</v>
      </c>
      <c r="J4713" t="s">
        <v>14568</v>
      </c>
      <c r="K4713">
        <f t="shared" si="73"/>
        <v>308.23855002657552</v>
      </c>
    </row>
    <row r="4714" spans="1:11" x14ac:dyDescent="0.2">
      <c r="A4714" t="s">
        <v>72</v>
      </c>
      <c r="B4714" t="s">
        <v>2875</v>
      </c>
      <c r="C4714" t="s">
        <v>14569</v>
      </c>
      <c r="D4714" t="s">
        <v>14570</v>
      </c>
      <c r="E4714" t="s">
        <v>56</v>
      </c>
      <c r="F4714" t="s">
        <v>12</v>
      </c>
      <c r="G4714" t="s">
        <v>24</v>
      </c>
      <c r="H4714">
        <f>9916*(1.01^10)</f>
        <v>10953.432995577507</v>
      </c>
      <c r="I4714">
        <f>41247*(1.01^10)</f>
        <v>45562.348806835966</v>
      </c>
      <c r="J4714" t="s">
        <v>14571</v>
      </c>
      <c r="K4714">
        <f t="shared" si="73"/>
        <v>168.94048421636657</v>
      </c>
    </row>
    <row r="4715" spans="1:11" x14ac:dyDescent="0.2">
      <c r="A4715" t="s">
        <v>72</v>
      </c>
      <c r="B4715" t="s">
        <v>2875</v>
      </c>
      <c r="C4715" t="s">
        <v>14572</v>
      </c>
      <c r="D4715" t="s">
        <v>14573</v>
      </c>
      <c r="E4715" t="s">
        <v>44</v>
      </c>
      <c r="F4715" t="s">
        <v>24</v>
      </c>
      <c r="G4715" t="s">
        <v>12</v>
      </c>
      <c r="H4715">
        <f>12094*(1.01^10)</f>
        <v>13359.299984723109</v>
      </c>
      <c r="I4715">
        <f>48866*(1.01^10)</f>
        <v>53978.464780343929</v>
      </c>
      <c r="J4715" t="s">
        <v>14574</v>
      </c>
      <c r="K4715">
        <f t="shared" si="73"/>
        <v>284.29627932926962</v>
      </c>
    </row>
    <row r="4716" spans="1:11" x14ac:dyDescent="0.2">
      <c r="A4716" t="s">
        <v>72</v>
      </c>
      <c r="B4716" t="s">
        <v>2875</v>
      </c>
      <c r="C4716" t="s">
        <v>14575</v>
      </c>
      <c r="D4716" t="s">
        <v>14576</v>
      </c>
      <c r="E4716" t="s">
        <v>427</v>
      </c>
      <c r="F4716" t="s">
        <v>24</v>
      </c>
      <c r="G4716" t="s">
        <v>24</v>
      </c>
      <c r="H4716">
        <f>11008*(1.01^10)</f>
        <v>12159.680356526542</v>
      </c>
      <c r="I4716">
        <f>44029*(1.01^10)</f>
        <v>48635.407559729931</v>
      </c>
      <c r="J4716" t="s">
        <v>14577</v>
      </c>
      <c r="K4716">
        <f t="shared" si="73"/>
        <v>217.61890486387725</v>
      </c>
    </row>
    <row r="4717" spans="1:11" x14ac:dyDescent="0.2">
      <c r="A4717" t="s">
        <v>72</v>
      </c>
      <c r="B4717" t="s">
        <v>2875</v>
      </c>
      <c r="C4717" t="s">
        <v>14578</v>
      </c>
      <c r="D4717" t="s">
        <v>14579</v>
      </c>
      <c r="E4717" t="s">
        <v>313</v>
      </c>
      <c r="F4717" t="s">
        <v>24</v>
      </c>
      <c r="G4717" t="s">
        <v>24</v>
      </c>
      <c r="H4717">
        <f>10521*(1.01^10)</f>
        <v>11621.729381451285</v>
      </c>
      <c r="I4717">
        <f>43280*(1.01^10)</f>
        <v>47808.045587796943</v>
      </c>
      <c r="J4717" t="s">
        <v>14580</v>
      </c>
      <c r="K4717">
        <f t="shared" si="73"/>
        <v>157.79397804307939</v>
      </c>
    </row>
    <row r="4718" spans="1:11" x14ac:dyDescent="0.2">
      <c r="A4718" t="s">
        <v>72</v>
      </c>
      <c r="B4718" t="s">
        <v>2875</v>
      </c>
      <c r="C4718" t="s">
        <v>14581</v>
      </c>
      <c r="D4718" t="s">
        <v>14582</v>
      </c>
      <c r="E4718" t="s">
        <v>796</v>
      </c>
      <c r="F4718" t="s">
        <v>12</v>
      </c>
      <c r="G4718" t="s">
        <v>24</v>
      </c>
      <c r="H4718">
        <f>11931*(1.01^10)</f>
        <v>13179.246578281083</v>
      </c>
      <c r="I4718">
        <f>50338*(1.01^10)</f>
        <v>55604.468548949226</v>
      </c>
      <c r="J4718" t="s">
        <v>14583</v>
      </c>
      <c r="K4718">
        <f t="shared" si="73"/>
        <v>179.8914894019488</v>
      </c>
    </row>
    <row r="4719" spans="1:11" x14ac:dyDescent="0.2">
      <c r="A4719" t="s">
        <v>72</v>
      </c>
      <c r="B4719" t="s">
        <v>2875</v>
      </c>
      <c r="C4719" t="s">
        <v>14584</v>
      </c>
      <c r="D4719" t="s">
        <v>14585</v>
      </c>
      <c r="E4719" t="s">
        <v>61</v>
      </c>
      <c r="F4719" t="s">
        <v>17</v>
      </c>
      <c r="G4719" t="s">
        <v>12</v>
      </c>
      <c r="H4719">
        <f>17048*(1.01^10)</f>
        <v>18831.597994010219</v>
      </c>
      <c r="I4719">
        <f>67959*(1.01^10)</f>
        <v>75069.015020820065</v>
      </c>
      <c r="J4719" t="s">
        <v>14586</v>
      </c>
      <c r="K4719">
        <f t="shared" si="73"/>
        <v>185.89586814267329</v>
      </c>
    </row>
    <row r="4720" spans="1:11" x14ac:dyDescent="0.2">
      <c r="A4720" t="s">
        <v>72</v>
      </c>
      <c r="B4720" t="s">
        <v>2875</v>
      </c>
      <c r="C4720" t="s">
        <v>14587</v>
      </c>
      <c r="D4720" t="s">
        <v>14588</v>
      </c>
      <c r="E4720" t="s">
        <v>77</v>
      </c>
      <c r="F4720" t="s">
        <v>17</v>
      </c>
      <c r="G4720" t="s">
        <v>24</v>
      </c>
      <c r="H4720">
        <f>16395*(1.01^10)</f>
        <v>18110.279746116703</v>
      </c>
      <c r="I4720">
        <f>63740*(1.01^10)</f>
        <v>70408.614273710191</v>
      </c>
      <c r="J4720" t="s">
        <v>14589</v>
      </c>
      <c r="K4720">
        <f t="shared" si="73"/>
        <v>214.12964722778415</v>
      </c>
    </row>
    <row r="4721" spans="1:11" x14ac:dyDescent="0.2">
      <c r="A4721" t="s">
        <v>72</v>
      </c>
      <c r="B4721" t="s">
        <v>2875</v>
      </c>
      <c r="C4721" t="s">
        <v>14590</v>
      </c>
      <c r="D4721" t="s">
        <v>14591</v>
      </c>
      <c r="E4721" t="s">
        <v>356</v>
      </c>
      <c r="F4721" t="s">
        <v>24</v>
      </c>
      <c r="G4721" t="s">
        <v>24</v>
      </c>
      <c r="H4721">
        <f>14017*(1.01^10)</f>
        <v>15483.488331888857</v>
      </c>
      <c r="I4721">
        <f>53816*(1.01^10)</f>
        <v>59446.344301129393</v>
      </c>
      <c r="J4721" t="s">
        <v>14592</v>
      </c>
      <c r="K4721">
        <f t="shared" si="73"/>
        <v>240.81105484577975</v>
      </c>
    </row>
    <row r="4722" spans="1:11" x14ac:dyDescent="0.2">
      <c r="A4722" t="s">
        <v>72</v>
      </c>
      <c r="B4722" t="s">
        <v>2875</v>
      </c>
      <c r="C4722" t="s">
        <v>14593</v>
      </c>
      <c r="D4722" t="s">
        <v>14594</v>
      </c>
      <c r="E4722" t="s">
        <v>356</v>
      </c>
      <c r="F4722" t="s">
        <v>12</v>
      </c>
      <c r="G4722" t="s">
        <v>24</v>
      </c>
      <c r="H4722">
        <f>12092*(1.01^10)</f>
        <v>13357.090740472288</v>
      </c>
      <c r="I4722">
        <f>46627*(1.01^10)</f>
        <v>51505.215841548241</v>
      </c>
      <c r="J4722" t="s">
        <v>14595</v>
      </c>
      <c r="K4722">
        <f t="shared" si="73"/>
        <v>294.3284101944717</v>
      </c>
    </row>
    <row r="4723" spans="1:11" x14ac:dyDescent="0.2">
      <c r="A4723" t="s">
        <v>72</v>
      </c>
      <c r="B4723" t="s">
        <v>2875</v>
      </c>
      <c r="C4723" t="s">
        <v>14596</v>
      </c>
      <c r="D4723" t="s">
        <v>14597</v>
      </c>
      <c r="E4723" t="s">
        <v>411</v>
      </c>
      <c r="F4723" t="s">
        <v>12</v>
      </c>
      <c r="G4723" t="s">
        <v>24</v>
      </c>
      <c r="H4723">
        <f>16867*(1.01^10)</f>
        <v>18631.66138931079</v>
      </c>
      <c r="I4723">
        <f>66946*(1.01^10)</f>
        <v>73950.032807778509</v>
      </c>
      <c r="J4723" t="s">
        <v>14598</v>
      </c>
      <c r="K4723">
        <f t="shared" si="73"/>
        <v>211.56829412524866</v>
      </c>
    </row>
    <row r="4724" spans="1:11" x14ac:dyDescent="0.2">
      <c r="A4724" t="s">
        <v>72</v>
      </c>
      <c r="B4724" t="s">
        <v>2875</v>
      </c>
      <c r="C4724" t="s">
        <v>14599</v>
      </c>
      <c r="D4724" t="s">
        <v>14600</v>
      </c>
      <c r="E4724" t="s">
        <v>61</v>
      </c>
      <c r="F4724" t="s">
        <v>24</v>
      </c>
      <c r="G4724" t="s">
        <v>12</v>
      </c>
      <c r="H4724">
        <f>45375*(1.01^10)</f>
        <v>50122.228940533416</v>
      </c>
      <c r="I4724">
        <f>175838*(1.01^10)</f>
        <v>194234.54528805541</v>
      </c>
      <c r="J4724" t="s">
        <v>14601</v>
      </c>
      <c r="K4724">
        <f t="shared" si="73"/>
        <v>808.87122437844516</v>
      </c>
    </row>
    <row r="4725" spans="1:11" x14ac:dyDescent="0.2">
      <c r="A4725" t="s">
        <v>72</v>
      </c>
      <c r="B4725" t="s">
        <v>2875</v>
      </c>
      <c r="C4725" t="s">
        <v>14602</v>
      </c>
      <c r="D4725" t="s">
        <v>14603</v>
      </c>
      <c r="E4725" t="s">
        <v>313</v>
      </c>
      <c r="F4725" t="s">
        <v>24</v>
      </c>
      <c r="G4725" t="s">
        <v>24</v>
      </c>
      <c r="H4725">
        <f>18173*(1.01^10)</f>
        <v>20074.297885097825</v>
      </c>
      <c r="I4725">
        <f>66499*(1.01^10)</f>
        <v>73456.2667177197</v>
      </c>
      <c r="J4725" t="s">
        <v>14604</v>
      </c>
      <c r="K4725">
        <f t="shared" si="73"/>
        <v>264.64678270527264</v>
      </c>
    </row>
    <row r="4726" spans="1:11" x14ac:dyDescent="0.2">
      <c r="A4726" t="s">
        <v>72</v>
      </c>
      <c r="B4726" t="s">
        <v>2875</v>
      </c>
      <c r="C4726" t="s">
        <v>14605</v>
      </c>
      <c r="D4726" t="s">
        <v>14606</v>
      </c>
      <c r="E4726" t="s">
        <v>108</v>
      </c>
      <c r="F4726" t="s">
        <v>24</v>
      </c>
      <c r="G4726" t="s">
        <v>24</v>
      </c>
      <c r="H4726">
        <f>15463*(1.01^10)</f>
        <v>17080.771925233457</v>
      </c>
      <c r="I4726">
        <f>56179*(1.01^10)</f>
        <v>62056.566383476071</v>
      </c>
      <c r="J4726" t="s">
        <v>14607</v>
      </c>
      <c r="K4726">
        <f t="shared" si="73"/>
        <v>314.37489921569278</v>
      </c>
    </row>
    <row r="4727" spans="1:11" x14ac:dyDescent="0.2">
      <c r="A4727" t="s">
        <v>72</v>
      </c>
      <c r="B4727" t="s">
        <v>2875</v>
      </c>
      <c r="C4727" t="s">
        <v>14608</v>
      </c>
      <c r="D4727" t="s">
        <v>14609</v>
      </c>
      <c r="E4727" t="s">
        <v>5</v>
      </c>
      <c r="F4727" t="s">
        <v>24</v>
      </c>
      <c r="G4727" t="s">
        <v>24</v>
      </c>
      <c r="H4727">
        <f>10682*(1.01^10)</f>
        <v>11799.573543642489</v>
      </c>
      <c r="I4727">
        <f>39225*(1.01^10)</f>
        <v>43328.802869254505</v>
      </c>
      <c r="J4727" t="s">
        <v>14610</v>
      </c>
      <c r="K4727">
        <f t="shared" si="73"/>
        <v>379.51540457517768</v>
      </c>
    </row>
    <row r="4728" spans="1:11" x14ac:dyDescent="0.2">
      <c r="A4728" t="s">
        <v>72</v>
      </c>
      <c r="B4728" t="s">
        <v>2875</v>
      </c>
      <c r="C4728" t="s">
        <v>14611</v>
      </c>
      <c r="D4728" t="s">
        <v>14612</v>
      </c>
      <c r="E4728" t="s">
        <v>44</v>
      </c>
      <c r="F4728" t="s">
        <v>24</v>
      </c>
      <c r="G4728" t="s">
        <v>12</v>
      </c>
      <c r="H4728">
        <f>34366*(1.01^10)</f>
        <v>37961.443961881465</v>
      </c>
      <c r="I4728">
        <f>133130*(1.01^10)</f>
        <v>147058.34355599369</v>
      </c>
      <c r="J4728" t="s">
        <v>14613</v>
      </c>
      <c r="K4728">
        <f t="shared" si="73"/>
        <v>486.05256961295754</v>
      </c>
    </row>
    <row r="4729" spans="1:11" x14ac:dyDescent="0.2">
      <c r="A4729" t="s">
        <v>72</v>
      </c>
      <c r="B4729" t="s">
        <v>2875</v>
      </c>
      <c r="C4729" t="s">
        <v>14614</v>
      </c>
      <c r="D4729" t="s">
        <v>14615</v>
      </c>
      <c r="E4729" t="s">
        <v>6</v>
      </c>
      <c r="F4729" t="s">
        <v>24</v>
      </c>
      <c r="G4729" t="s">
        <v>24</v>
      </c>
      <c r="H4729">
        <f>16292*(1.01^10)</f>
        <v>17996.503667199348</v>
      </c>
      <c r="I4729">
        <f>60426*(1.01^10)</f>
        <v>66747.896550097459</v>
      </c>
      <c r="J4729" t="s">
        <v>14616</v>
      </c>
      <c r="K4729">
        <f t="shared" si="73"/>
        <v>558.31891628357926</v>
      </c>
    </row>
    <row r="4730" spans="1:11" x14ac:dyDescent="0.2">
      <c r="A4730" t="s">
        <v>72</v>
      </c>
      <c r="B4730" t="s">
        <v>2875</v>
      </c>
      <c r="C4730" t="s">
        <v>14617</v>
      </c>
      <c r="D4730" t="s">
        <v>14618</v>
      </c>
      <c r="E4730" t="s">
        <v>405</v>
      </c>
      <c r="F4730" t="s">
        <v>24</v>
      </c>
      <c r="G4730" t="s">
        <v>24</v>
      </c>
      <c r="H4730">
        <f>11924*(1.01^10)</f>
        <v>13171.514223403205</v>
      </c>
      <c r="I4730">
        <f>44939*(1.01^10)</f>
        <v>49640.613693854131</v>
      </c>
      <c r="J4730" t="s">
        <v>14619</v>
      </c>
      <c r="K4730">
        <f t="shared" si="73"/>
        <v>234.14918195428078</v>
      </c>
    </row>
    <row r="4731" spans="1:11" x14ac:dyDescent="0.2">
      <c r="A4731" t="s">
        <v>72</v>
      </c>
      <c r="B4731" t="s">
        <v>2875</v>
      </c>
      <c r="C4731" t="s">
        <v>14620</v>
      </c>
      <c r="D4731" t="s">
        <v>14621</v>
      </c>
      <c r="E4731" t="s">
        <v>318</v>
      </c>
      <c r="F4731" t="s">
        <v>24</v>
      </c>
      <c r="G4731" t="s">
        <v>24</v>
      </c>
      <c r="H4731">
        <f>20282*(1.01^10)</f>
        <v>22403.945947590055</v>
      </c>
      <c r="I4731">
        <f>74682*(1.01^10)</f>
        <v>82495.389569959589</v>
      </c>
      <c r="J4731" t="s">
        <v>14622</v>
      </c>
      <c r="K4731">
        <f t="shared" si="73"/>
        <v>200.87769905442073</v>
      </c>
    </row>
    <row r="4732" spans="1:11" x14ac:dyDescent="0.2">
      <c r="A4732" t="s">
        <v>72</v>
      </c>
      <c r="B4732" t="s">
        <v>464</v>
      </c>
      <c r="C4732" t="s">
        <v>14623</v>
      </c>
      <c r="D4732" t="s">
        <v>14624</v>
      </c>
      <c r="E4732" t="s">
        <v>1340</v>
      </c>
      <c r="F4732" t="s">
        <v>24</v>
      </c>
      <c r="G4732" t="s">
        <v>24</v>
      </c>
      <c r="H4732">
        <f>16287*(1.01^10)</f>
        <v>17990.980556572293</v>
      </c>
      <c r="I4732">
        <f>70809*(1.01^10)</f>
        <v>78217.18807824199</v>
      </c>
      <c r="J4732" t="s">
        <v>14625</v>
      </c>
      <c r="K4732">
        <f t="shared" si="73"/>
        <v>251.48293091802518</v>
      </c>
    </row>
    <row r="4733" spans="1:11" x14ac:dyDescent="0.2">
      <c r="A4733" t="s">
        <v>72</v>
      </c>
      <c r="B4733" t="s">
        <v>464</v>
      </c>
      <c r="C4733" t="s">
        <v>14626</v>
      </c>
      <c r="D4733" t="s">
        <v>14273</v>
      </c>
      <c r="E4733" t="s">
        <v>1340</v>
      </c>
      <c r="F4733" t="s">
        <v>24</v>
      </c>
      <c r="G4733" t="s">
        <v>24</v>
      </c>
      <c r="H4733">
        <f>9143*(1.01^10)</f>
        <v>10099.560092634645</v>
      </c>
      <c r="I4733">
        <f>38731*(1.01^10)</f>
        <v>42783.11953930137</v>
      </c>
      <c r="J4733" t="s">
        <v>14627</v>
      </c>
      <c r="K4733">
        <f t="shared" si="73"/>
        <v>233.16956286544763</v>
      </c>
    </row>
    <row r="4734" spans="1:11" x14ac:dyDescent="0.2">
      <c r="A4734" t="s">
        <v>72</v>
      </c>
      <c r="B4734" t="s">
        <v>464</v>
      </c>
      <c r="C4734" t="s">
        <v>14628</v>
      </c>
      <c r="D4734" t="s">
        <v>14629</v>
      </c>
      <c r="E4734" t="s">
        <v>61</v>
      </c>
      <c r="F4734" t="s">
        <v>24</v>
      </c>
      <c r="G4734" t="s">
        <v>24</v>
      </c>
      <c r="H4734">
        <f>10414*(1.01^10)</f>
        <v>11503.534814032286</v>
      </c>
      <c r="I4734">
        <f>44265*(1.01^10)</f>
        <v>48896.098381326978</v>
      </c>
      <c r="J4734" t="s">
        <v>14630</v>
      </c>
      <c r="K4734">
        <f t="shared" si="73"/>
        <v>216.13099407824708</v>
      </c>
    </row>
    <row r="4735" spans="1:11" x14ac:dyDescent="0.2">
      <c r="A4735" t="s">
        <v>72</v>
      </c>
      <c r="B4735" t="s">
        <v>464</v>
      </c>
      <c r="C4735" t="s">
        <v>14631</v>
      </c>
      <c r="D4735" t="s">
        <v>14632</v>
      </c>
      <c r="E4735" t="s">
        <v>44</v>
      </c>
      <c r="F4735" t="s">
        <v>24</v>
      </c>
      <c r="G4735" t="s">
        <v>24</v>
      </c>
      <c r="H4735">
        <f>10235*(1.01^10)</f>
        <v>11305.80745358368</v>
      </c>
      <c r="I4735">
        <f>42374*(1.01^10)</f>
        <v>46807.257942174387</v>
      </c>
      <c r="J4735" t="s">
        <v>14633</v>
      </c>
      <c r="K4735">
        <f t="shared" si="73"/>
        <v>234.23742871773339</v>
      </c>
    </row>
    <row r="4736" spans="1:11" x14ac:dyDescent="0.2">
      <c r="A4736" t="s">
        <v>72</v>
      </c>
      <c r="B4736" t="s">
        <v>464</v>
      </c>
      <c r="C4736" t="s">
        <v>14634</v>
      </c>
      <c r="D4736" t="s">
        <v>14635</v>
      </c>
      <c r="E4736" t="s">
        <v>61</v>
      </c>
      <c r="F4736" t="s">
        <v>24</v>
      </c>
      <c r="G4736" t="s">
        <v>17</v>
      </c>
      <c r="H4736">
        <f>23087*(1.01^10)</f>
        <v>25502.411009368483</v>
      </c>
      <c r="I4736">
        <f>92303*(1.01^10)</f>
        <v>101959.93604183043</v>
      </c>
      <c r="J4736" t="s">
        <v>14636</v>
      </c>
      <c r="K4736">
        <f t="shared" si="73"/>
        <v>309.03624226950967</v>
      </c>
    </row>
    <row r="4737" spans="1:11" x14ac:dyDescent="0.2">
      <c r="A4737" t="s">
        <v>72</v>
      </c>
      <c r="B4737" t="s">
        <v>464</v>
      </c>
      <c r="C4737" t="s">
        <v>14637</v>
      </c>
      <c r="D4737" t="s">
        <v>14638</v>
      </c>
      <c r="E4737" t="s">
        <v>445</v>
      </c>
      <c r="F4737" t="s">
        <v>24</v>
      </c>
      <c r="G4737" t="s">
        <v>24</v>
      </c>
      <c r="H4737">
        <f>18267*(1.01^10)</f>
        <v>20178.132364886478</v>
      </c>
      <c r="I4737">
        <f>73593*(1.01^10)</f>
        <v>81292.456075386785</v>
      </c>
      <c r="J4737" t="s">
        <v>14639</v>
      </c>
      <c r="K4737">
        <f t="shared" si="73"/>
        <v>342.45435256037234</v>
      </c>
    </row>
    <row r="4738" spans="1:11" x14ac:dyDescent="0.2">
      <c r="A4738" t="s">
        <v>72</v>
      </c>
      <c r="B4738" t="s">
        <v>464</v>
      </c>
      <c r="C4738" t="s">
        <v>14640</v>
      </c>
      <c r="D4738" t="s">
        <v>14641</v>
      </c>
      <c r="E4738" t="s">
        <v>318</v>
      </c>
      <c r="F4738" t="s">
        <v>24</v>
      </c>
      <c r="G4738" t="s">
        <v>12</v>
      </c>
      <c r="H4738">
        <f>20700*(1.01^10)</f>
        <v>22865.677996011938</v>
      </c>
      <c r="I4738">
        <f>81707*(1.01^10)</f>
        <v>90255.360000973305</v>
      </c>
      <c r="J4738" t="s">
        <v>14642</v>
      </c>
      <c r="K4738">
        <f t="shared" si="73"/>
        <v>490.66198030503494</v>
      </c>
    </row>
    <row r="4739" spans="1:11" x14ac:dyDescent="0.2">
      <c r="A4739" t="s">
        <v>72</v>
      </c>
      <c r="B4739" t="s">
        <v>464</v>
      </c>
      <c r="C4739" t="s">
        <v>14643</v>
      </c>
      <c r="D4739" t="s">
        <v>14644</v>
      </c>
      <c r="E4739" t="s">
        <v>61</v>
      </c>
      <c r="F4739" t="s">
        <v>24</v>
      </c>
      <c r="G4739" t="s">
        <v>24</v>
      </c>
      <c r="H4739">
        <f>21148*(1.01^10)</f>
        <v>23360.548708196158</v>
      </c>
      <c r="I4739">
        <f>80542*(1.01^10)</f>
        <v>88968.475224869253</v>
      </c>
      <c r="J4739" t="s">
        <v>14645</v>
      </c>
      <c r="K4739">
        <f t="shared" ref="K4739:K4802" si="74">I4739/J4739</f>
        <v>511.80500385769551</v>
      </c>
    </row>
    <row r="4740" spans="1:11" x14ac:dyDescent="0.2">
      <c r="A4740" t="s">
        <v>72</v>
      </c>
      <c r="B4740" t="s">
        <v>464</v>
      </c>
      <c r="C4740" t="s">
        <v>14646</v>
      </c>
      <c r="D4740" t="s">
        <v>14647</v>
      </c>
      <c r="E4740" t="s">
        <v>356</v>
      </c>
      <c r="F4740" t="s">
        <v>24</v>
      </c>
      <c r="G4740" t="s">
        <v>24</v>
      </c>
      <c r="H4740">
        <f>10808*(1.01^10)</f>
        <v>11938.755931444301</v>
      </c>
      <c r="I4740">
        <f>39387*(1.01^10)</f>
        <v>43507.751653571118</v>
      </c>
      <c r="J4740" t="s">
        <v>14648</v>
      </c>
      <c r="K4740">
        <f t="shared" si="74"/>
        <v>282.5638494985626</v>
      </c>
    </row>
    <row r="4741" spans="1:11" x14ac:dyDescent="0.2">
      <c r="A4741" t="s">
        <v>72</v>
      </c>
      <c r="B4741" t="s">
        <v>464</v>
      </c>
      <c r="C4741" t="s">
        <v>14649</v>
      </c>
      <c r="D4741" t="s">
        <v>14650</v>
      </c>
      <c r="E4741" t="s">
        <v>103</v>
      </c>
      <c r="F4741" t="s">
        <v>24</v>
      </c>
      <c r="G4741" t="s">
        <v>24</v>
      </c>
      <c r="H4741">
        <f>16612*(1.01^10)</f>
        <v>18349.982747330934</v>
      </c>
      <c r="I4741">
        <f>61813*(1.01^10)</f>
        <v>68280.007438042798</v>
      </c>
      <c r="J4741" t="s">
        <v>14651</v>
      </c>
      <c r="K4741">
        <f t="shared" si="74"/>
        <v>211.5529264471017</v>
      </c>
    </row>
    <row r="4742" spans="1:11" x14ac:dyDescent="0.2">
      <c r="A4742" t="s">
        <v>72</v>
      </c>
      <c r="B4742" t="s">
        <v>464</v>
      </c>
      <c r="C4742" t="s">
        <v>14652</v>
      </c>
      <c r="D4742" t="s">
        <v>14653</v>
      </c>
      <c r="E4742" t="s">
        <v>445</v>
      </c>
      <c r="F4742" t="s">
        <v>12</v>
      </c>
      <c r="G4742" t="s">
        <v>12</v>
      </c>
      <c r="H4742">
        <f>22270*(1.01^10)</f>
        <v>24599.934732907528</v>
      </c>
      <c r="I4742">
        <f>86729*(1.01^10)</f>
        <v>95802.772314788381</v>
      </c>
      <c r="J4742" t="s">
        <v>14654</v>
      </c>
      <c r="K4742">
        <f t="shared" si="74"/>
        <v>255.16502750469763</v>
      </c>
    </row>
    <row r="4743" spans="1:11" x14ac:dyDescent="0.2">
      <c r="A4743" t="s">
        <v>72</v>
      </c>
      <c r="B4743" t="s">
        <v>464</v>
      </c>
      <c r="C4743" t="s">
        <v>14655</v>
      </c>
      <c r="D4743" t="s">
        <v>14656</v>
      </c>
      <c r="E4743" t="s">
        <v>152</v>
      </c>
      <c r="F4743" t="s">
        <v>12</v>
      </c>
      <c r="G4743" t="s">
        <v>24</v>
      </c>
      <c r="H4743">
        <f>9914*(1.01^10)</f>
        <v>10951.223751326685</v>
      </c>
      <c r="I4743">
        <f>35952*(1.01^10)</f>
        <v>39713.374652783634</v>
      </c>
      <c r="J4743" t="s">
        <v>14657</v>
      </c>
      <c r="K4743">
        <f t="shared" si="74"/>
        <v>335.88519654428615</v>
      </c>
    </row>
    <row r="4744" spans="1:11" x14ac:dyDescent="0.2">
      <c r="A4744" t="s">
        <v>72</v>
      </c>
      <c r="B4744" t="s">
        <v>464</v>
      </c>
      <c r="C4744" t="s">
        <v>14658</v>
      </c>
      <c r="D4744" t="s">
        <v>14659</v>
      </c>
      <c r="E4744" t="s">
        <v>405</v>
      </c>
      <c r="F4744" t="s">
        <v>12</v>
      </c>
      <c r="G4744" t="s">
        <v>24</v>
      </c>
      <c r="H4744">
        <f>10647*(1.01^10)</f>
        <v>11760.911769253096</v>
      </c>
      <c r="I4744">
        <f>38959*(1.01^10)</f>
        <v>43034.973383895129</v>
      </c>
      <c r="J4744" t="s">
        <v>14660</v>
      </c>
      <c r="K4744">
        <f t="shared" si="74"/>
        <v>87.71818581571145</v>
      </c>
    </row>
    <row r="4745" spans="1:11" x14ac:dyDescent="0.2">
      <c r="A4745" t="s">
        <v>72</v>
      </c>
      <c r="B4745" t="s">
        <v>464</v>
      </c>
      <c r="C4745" t="s">
        <v>14661</v>
      </c>
      <c r="D4745" t="s">
        <v>14662</v>
      </c>
      <c r="E4745" t="s">
        <v>176</v>
      </c>
      <c r="F4745" t="s">
        <v>796</v>
      </c>
      <c r="G4745" t="s">
        <v>24</v>
      </c>
      <c r="H4745">
        <f>10496*(1.01^10)</f>
        <v>11594.113828316005</v>
      </c>
      <c r="I4745">
        <f>41153*(1.01^10)</f>
        <v>45458.514327047305</v>
      </c>
      <c r="J4745" t="s">
        <v>14663</v>
      </c>
      <c r="K4745">
        <f t="shared" si="74"/>
        <v>55.412921429411576</v>
      </c>
    </row>
    <row r="4746" spans="1:11" x14ac:dyDescent="0.2">
      <c r="A4746" t="s">
        <v>72</v>
      </c>
      <c r="B4746" t="s">
        <v>464</v>
      </c>
      <c r="C4746" t="s">
        <v>14664</v>
      </c>
      <c r="D4746" t="s">
        <v>14665</v>
      </c>
      <c r="E4746" t="s">
        <v>356</v>
      </c>
      <c r="F4746" t="s">
        <v>11</v>
      </c>
      <c r="G4746" t="s">
        <v>12</v>
      </c>
      <c r="H4746">
        <f>12703*(1.01^10)</f>
        <v>14032.014859098534</v>
      </c>
      <c r="I4746">
        <f>48420*(1.01^10)</f>
        <v>53485.803312410535</v>
      </c>
      <c r="J4746" t="s">
        <v>14666</v>
      </c>
      <c r="K4746">
        <f t="shared" si="74"/>
        <v>99.612285399529526</v>
      </c>
    </row>
    <row r="4747" spans="1:11" x14ac:dyDescent="0.2">
      <c r="A4747" t="s">
        <v>72</v>
      </c>
      <c r="B4747" t="s">
        <v>464</v>
      </c>
      <c r="C4747" t="s">
        <v>14667</v>
      </c>
      <c r="D4747" t="s">
        <v>14668</v>
      </c>
      <c r="E4747" t="s">
        <v>185</v>
      </c>
      <c r="F4747" t="s">
        <v>103</v>
      </c>
      <c r="G4747" t="s">
        <v>24</v>
      </c>
      <c r="H4747">
        <f>5576*(1.01^10)</f>
        <v>6159.372971292878</v>
      </c>
      <c r="I4747">
        <f>22879*(1.01^10)</f>
        <v>25272.649607282954</v>
      </c>
      <c r="J4747" t="s">
        <v>14669</v>
      </c>
      <c r="K4747">
        <f t="shared" si="74"/>
        <v>32.497384615567448</v>
      </c>
    </row>
    <row r="4748" spans="1:11" x14ac:dyDescent="0.2">
      <c r="A4748" t="s">
        <v>72</v>
      </c>
      <c r="B4748" t="s">
        <v>464</v>
      </c>
      <c r="C4748" t="s">
        <v>14670</v>
      </c>
      <c r="D4748" t="s">
        <v>14671</v>
      </c>
      <c r="E4748" t="s">
        <v>405</v>
      </c>
      <c r="F4748" t="s">
        <v>5</v>
      </c>
      <c r="G4748" t="s">
        <v>24</v>
      </c>
      <c r="H4748">
        <f>8366*(1.01^10)</f>
        <v>9241.268701190138</v>
      </c>
      <c r="I4748">
        <f>30738*(1.01^10)</f>
        <v>33953.874890889609</v>
      </c>
      <c r="J4748" t="s">
        <v>14672</v>
      </c>
      <c r="K4748">
        <f t="shared" si="74"/>
        <v>219.05783002556964</v>
      </c>
    </row>
    <row r="4749" spans="1:11" x14ac:dyDescent="0.2">
      <c r="A4749" t="s">
        <v>72</v>
      </c>
      <c r="B4749" t="s">
        <v>464</v>
      </c>
      <c r="C4749" t="s">
        <v>14673</v>
      </c>
      <c r="D4749" t="s">
        <v>14077</v>
      </c>
      <c r="E4749" t="s">
        <v>411</v>
      </c>
      <c r="F4749" t="s">
        <v>17</v>
      </c>
      <c r="G4749" t="s">
        <v>24</v>
      </c>
      <c r="H4749">
        <f>16136*(1.01^10)</f>
        <v>17824.1826156352</v>
      </c>
      <c r="I4749">
        <f>61741*(1.01^10)</f>
        <v>68200.474645013193</v>
      </c>
      <c r="J4749" t="s">
        <v>14674</v>
      </c>
      <c r="K4749">
        <f t="shared" si="74"/>
        <v>202.60391216306539</v>
      </c>
    </row>
    <row r="4750" spans="1:11" x14ac:dyDescent="0.2">
      <c r="A4750" t="s">
        <v>72</v>
      </c>
      <c r="B4750" t="s">
        <v>464</v>
      </c>
      <c r="C4750" t="s">
        <v>14675</v>
      </c>
      <c r="D4750" t="s">
        <v>14676</v>
      </c>
      <c r="E4750" t="s">
        <v>445</v>
      </c>
      <c r="F4750" t="s">
        <v>24</v>
      </c>
      <c r="G4750" t="s">
        <v>24</v>
      </c>
      <c r="H4750">
        <f>16223*(1.01^10)</f>
        <v>17920.284740545976</v>
      </c>
      <c r="I4750">
        <f>59602*(1.01^10)</f>
        <v>65837.687918758631</v>
      </c>
      <c r="J4750" t="s">
        <v>14677</v>
      </c>
      <c r="K4750">
        <f t="shared" si="74"/>
        <v>323.17424700043091</v>
      </c>
    </row>
    <row r="4751" spans="1:11" x14ac:dyDescent="0.2">
      <c r="A4751" t="s">
        <v>72</v>
      </c>
      <c r="B4751" t="s">
        <v>464</v>
      </c>
      <c r="C4751" t="s">
        <v>14678</v>
      </c>
      <c r="D4751" t="s">
        <v>14679</v>
      </c>
      <c r="E4751" t="s">
        <v>458</v>
      </c>
      <c r="F4751" t="s">
        <v>24</v>
      </c>
      <c r="G4751" t="s">
        <v>24</v>
      </c>
      <c r="H4751">
        <f>11080*(1.01^10)</f>
        <v>12239.213149556148</v>
      </c>
      <c r="I4751">
        <f>40292*(1.01^10)</f>
        <v>44507.43467706826</v>
      </c>
      <c r="J4751" t="s">
        <v>14680</v>
      </c>
      <c r="K4751">
        <f t="shared" si="74"/>
        <v>464.56147967817668</v>
      </c>
    </row>
    <row r="4752" spans="1:11" x14ac:dyDescent="0.2">
      <c r="A4752" t="s">
        <v>72</v>
      </c>
      <c r="B4752" t="s">
        <v>464</v>
      </c>
      <c r="C4752" t="s">
        <v>14681</v>
      </c>
      <c r="D4752" t="s">
        <v>14682</v>
      </c>
      <c r="E4752" t="s">
        <v>356</v>
      </c>
      <c r="F4752" t="s">
        <v>24</v>
      </c>
      <c r="G4752" t="s">
        <v>24</v>
      </c>
      <c r="H4752">
        <f>9962*(1.01^10)</f>
        <v>11004.245613346422</v>
      </c>
      <c r="I4752">
        <f>37503*(1.01^10)</f>
        <v>41426.643569296415</v>
      </c>
      <c r="J4752" t="s">
        <v>14683</v>
      </c>
      <c r="K4752">
        <f t="shared" si="74"/>
        <v>191.89252992250226</v>
      </c>
    </row>
    <row r="4753" spans="1:11" x14ac:dyDescent="0.2">
      <c r="A4753" t="s">
        <v>72</v>
      </c>
      <c r="B4753" t="s">
        <v>464</v>
      </c>
      <c r="C4753" t="s">
        <v>14684</v>
      </c>
      <c r="D4753" t="s">
        <v>14685</v>
      </c>
      <c r="E4753" t="s">
        <v>411</v>
      </c>
      <c r="F4753" t="s">
        <v>12</v>
      </c>
      <c r="G4753" t="s">
        <v>24</v>
      </c>
      <c r="H4753">
        <f>11731*(1.01^10)</f>
        <v>12958.322153198842</v>
      </c>
      <c r="I4753">
        <f>42050*(1.01^10)</f>
        <v>46449.36037354116</v>
      </c>
      <c r="J4753" t="s">
        <v>14686</v>
      </c>
      <c r="K4753">
        <f t="shared" si="74"/>
        <v>437.35356969226035</v>
      </c>
    </row>
    <row r="4754" spans="1:11" x14ac:dyDescent="0.2">
      <c r="A4754" t="s">
        <v>72</v>
      </c>
      <c r="B4754" t="s">
        <v>464</v>
      </c>
      <c r="C4754" t="s">
        <v>14687</v>
      </c>
      <c r="D4754" t="s">
        <v>14384</v>
      </c>
      <c r="E4754" t="s">
        <v>796</v>
      </c>
      <c r="F4754" t="s">
        <v>24</v>
      </c>
      <c r="G4754" t="s">
        <v>24</v>
      </c>
      <c r="H4754">
        <f>15492*(1.01^10)</f>
        <v>17112.805966870383</v>
      </c>
      <c r="I4754">
        <f>59540*(1.01^10)</f>
        <v>65769.201346983129</v>
      </c>
      <c r="J4754" t="s">
        <v>14688</v>
      </c>
      <c r="K4754">
        <f t="shared" si="74"/>
        <v>359.42807222718454</v>
      </c>
    </row>
    <row r="4755" spans="1:11" x14ac:dyDescent="0.2">
      <c r="A4755" t="s">
        <v>72</v>
      </c>
      <c r="B4755" t="s">
        <v>464</v>
      </c>
      <c r="C4755" t="s">
        <v>14689</v>
      </c>
      <c r="D4755" t="s">
        <v>14690</v>
      </c>
      <c r="E4755" t="s">
        <v>405</v>
      </c>
      <c r="F4755" t="s">
        <v>24</v>
      </c>
      <c r="G4755" t="s">
        <v>11</v>
      </c>
      <c r="H4755">
        <f>104564*(1.01^10)</f>
        <v>115503.70792149722</v>
      </c>
      <c r="I4755">
        <f>427303*(1.01^10)</f>
        <v>472008.348054584</v>
      </c>
      <c r="J4755" t="s">
        <v>14691</v>
      </c>
      <c r="K4755">
        <f t="shared" si="74"/>
        <v>2374.3667841441393</v>
      </c>
    </row>
    <row r="4756" spans="1:11" x14ac:dyDescent="0.2">
      <c r="A4756" t="s">
        <v>72</v>
      </c>
      <c r="B4756" t="s">
        <v>464</v>
      </c>
      <c r="C4756" t="s">
        <v>14692</v>
      </c>
      <c r="D4756" t="s">
        <v>14693</v>
      </c>
      <c r="E4756" t="s">
        <v>445</v>
      </c>
      <c r="F4756" t="s">
        <v>24</v>
      </c>
      <c r="G4756" t="s">
        <v>24</v>
      </c>
      <c r="H4756">
        <f>11903*(1.01^10)</f>
        <v>13148.317158769571</v>
      </c>
      <c r="I4756">
        <f>45899*(1.01^10)</f>
        <v>50701.050934248888</v>
      </c>
      <c r="J4756" t="s">
        <v>14694</v>
      </c>
      <c r="K4756">
        <f t="shared" si="74"/>
        <v>295.69190887199034</v>
      </c>
    </row>
    <row r="4757" spans="1:11" x14ac:dyDescent="0.2">
      <c r="A4757" t="s">
        <v>72</v>
      </c>
      <c r="B4757" t="s">
        <v>464</v>
      </c>
      <c r="C4757" t="s">
        <v>14695</v>
      </c>
      <c r="D4757" t="s">
        <v>14696</v>
      </c>
      <c r="E4757" t="s">
        <v>1340</v>
      </c>
      <c r="F4757" t="s">
        <v>24</v>
      </c>
      <c r="G4757" t="s">
        <v>24</v>
      </c>
      <c r="H4757">
        <f>14060*(1.01^10)</f>
        <v>15530.98708328154</v>
      </c>
      <c r="I4757">
        <f>58194*(1.01^10)</f>
        <v>64282.379966179651</v>
      </c>
      <c r="J4757" t="s">
        <v>14697</v>
      </c>
      <c r="K4757">
        <f t="shared" si="74"/>
        <v>254.10352627192964</v>
      </c>
    </row>
    <row r="4758" spans="1:11" x14ac:dyDescent="0.2">
      <c r="A4758" t="s">
        <v>72</v>
      </c>
      <c r="B4758" t="s">
        <v>464</v>
      </c>
      <c r="C4758" t="s">
        <v>14698</v>
      </c>
      <c r="D4758" t="s">
        <v>14699</v>
      </c>
      <c r="E4758" t="s">
        <v>356</v>
      </c>
      <c r="F4758" t="s">
        <v>24</v>
      </c>
      <c r="G4758" t="s">
        <v>24</v>
      </c>
      <c r="H4758">
        <f>13702*(1.01^10)</f>
        <v>15135.532362384327</v>
      </c>
      <c r="I4758">
        <f>53374*(1.01^10)</f>
        <v>58958.101321697643</v>
      </c>
      <c r="J4758" t="s">
        <v>14700</v>
      </c>
      <c r="K4758">
        <f t="shared" si="74"/>
        <v>221.14398540373512</v>
      </c>
    </row>
    <row r="4759" spans="1:11" x14ac:dyDescent="0.2">
      <c r="A4759" t="s">
        <v>72</v>
      </c>
      <c r="B4759" t="s">
        <v>464</v>
      </c>
      <c r="C4759" t="s">
        <v>14701</v>
      </c>
      <c r="D4759" t="s">
        <v>14702</v>
      </c>
      <c r="E4759" t="s">
        <v>356</v>
      </c>
      <c r="F4759" t="s">
        <v>24</v>
      </c>
      <c r="G4759" t="s">
        <v>12</v>
      </c>
      <c r="H4759">
        <f>22097*(1.01^10)</f>
        <v>24408.83510521139</v>
      </c>
      <c r="I4759">
        <f>92446*(1.01^10)</f>
        <v>102117.89700576423</v>
      </c>
      <c r="J4759" t="s">
        <v>14703</v>
      </c>
      <c r="K4759">
        <f t="shared" si="74"/>
        <v>502.95604219599801</v>
      </c>
    </row>
    <row r="4760" spans="1:11" x14ac:dyDescent="0.2">
      <c r="A4760" t="s">
        <v>72</v>
      </c>
      <c r="B4760" t="s">
        <v>464</v>
      </c>
      <c r="C4760" t="s">
        <v>14704</v>
      </c>
      <c r="D4760" t="s">
        <v>14705</v>
      </c>
      <c r="E4760" t="s">
        <v>458</v>
      </c>
      <c r="F4760" t="s">
        <v>12</v>
      </c>
      <c r="G4760" t="s">
        <v>24</v>
      </c>
      <c r="H4760">
        <f>9655*(1.01^10)</f>
        <v>10665.126620845182</v>
      </c>
      <c r="I4760">
        <f>38340*(1.01^10)</f>
        <v>42351.212288265589</v>
      </c>
      <c r="J4760" t="s">
        <v>14706</v>
      </c>
      <c r="K4760">
        <f t="shared" si="74"/>
        <v>231.47490428067513</v>
      </c>
    </row>
    <row r="4761" spans="1:11" x14ac:dyDescent="0.2">
      <c r="A4761" t="s">
        <v>72</v>
      </c>
      <c r="B4761" t="s">
        <v>464</v>
      </c>
      <c r="C4761" t="s">
        <v>14707</v>
      </c>
      <c r="D4761" t="s">
        <v>14708</v>
      </c>
      <c r="E4761" t="s">
        <v>458</v>
      </c>
      <c r="F4761" t="s">
        <v>24</v>
      </c>
      <c r="G4761" t="s">
        <v>24</v>
      </c>
      <c r="H4761">
        <f>10400*(1.01^10)</f>
        <v>11488.070104276529</v>
      </c>
      <c r="I4761">
        <f>42411*(1.01^10)</f>
        <v>46848.128960814603</v>
      </c>
      <c r="J4761" t="s">
        <v>14709</v>
      </c>
      <c r="K4761">
        <f t="shared" si="74"/>
        <v>261.74073122372391</v>
      </c>
    </row>
    <row r="4762" spans="1:11" x14ac:dyDescent="0.2">
      <c r="A4762" t="s">
        <v>72</v>
      </c>
      <c r="B4762" t="s">
        <v>464</v>
      </c>
      <c r="C4762" t="s">
        <v>14710</v>
      </c>
      <c r="D4762" t="s">
        <v>14711</v>
      </c>
      <c r="E4762" t="s">
        <v>44</v>
      </c>
      <c r="F4762" t="s">
        <v>24</v>
      </c>
      <c r="G4762" t="s">
        <v>24</v>
      </c>
      <c r="H4762">
        <f>12525*(1.01^10)</f>
        <v>13835.392120775339</v>
      </c>
      <c r="I4762">
        <f>51816*(1.01^10)</f>
        <v>57237.100050306988</v>
      </c>
      <c r="J4762" t="s">
        <v>14712</v>
      </c>
      <c r="K4762">
        <f t="shared" si="74"/>
        <v>281.58011373547777</v>
      </c>
    </row>
    <row r="4763" spans="1:11" x14ac:dyDescent="0.2">
      <c r="A4763" t="s">
        <v>72</v>
      </c>
      <c r="B4763" t="s">
        <v>464</v>
      </c>
      <c r="C4763" t="s">
        <v>14713</v>
      </c>
      <c r="D4763" t="s">
        <v>14714</v>
      </c>
      <c r="E4763" t="s">
        <v>445</v>
      </c>
      <c r="F4763" t="s">
        <v>24</v>
      </c>
      <c r="G4763" t="s">
        <v>24</v>
      </c>
      <c r="H4763">
        <f>13898*(1.01^10)</f>
        <v>15352.038298964924</v>
      </c>
      <c r="I4763">
        <f>56189*(1.01^10)</f>
        <v>62067.61260473018</v>
      </c>
      <c r="J4763" t="s">
        <v>14715</v>
      </c>
      <c r="K4763">
        <f t="shared" si="74"/>
        <v>340.01764745523184</v>
      </c>
    </row>
    <row r="4764" spans="1:11" x14ac:dyDescent="0.2">
      <c r="A4764" t="s">
        <v>72</v>
      </c>
      <c r="B4764" t="s">
        <v>464</v>
      </c>
      <c r="C4764" t="s">
        <v>14716</v>
      </c>
      <c r="D4764" t="s">
        <v>14717</v>
      </c>
      <c r="E4764" t="s">
        <v>445</v>
      </c>
      <c r="F4764" t="s">
        <v>24</v>
      </c>
      <c r="G4764" t="s">
        <v>24</v>
      </c>
      <c r="H4764">
        <f>19363*(1.01^10)</f>
        <v>21388.798214337159</v>
      </c>
      <c r="I4764">
        <f>76873*(1.01^10)</f>
        <v>84915.616646735536</v>
      </c>
      <c r="J4764" t="s">
        <v>14718</v>
      </c>
      <c r="K4764">
        <f t="shared" si="74"/>
        <v>368.48546050167676</v>
      </c>
    </row>
    <row r="4765" spans="1:11" x14ac:dyDescent="0.2">
      <c r="A4765" t="s">
        <v>72</v>
      </c>
      <c r="B4765" t="s">
        <v>464</v>
      </c>
      <c r="C4765" t="s">
        <v>14719</v>
      </c>
      <c r="D4765" t="s">
        <v>14720</v>
      </c>
      <c r="E4765" t="s">
        <v>356</v>
      </c>
      <c r="F4765" t="s">
        <v>24</v>
      </c>
      <c r="G4765" t="s">
        <v>24</v>
      </c>
      <c r="H4765">
        <f>14049*(1.01^10)</f>
        <v>15518.836239902015</v>
      </c>
      <c r="I4765">
        <f>53160*(1.01^10)</f>
        <v>58721.712186859644</v>
      </c>
      <c r="J4765" t="s">
        <v>14721</v>
      </c>
      <c r="K4765">
        <f t="shared" si="74"/>
        <v>337.84561937395978</v>
      </c>
    </row>
    <row r="4766" spans="1:11" x14ac:dyDescent="0.2">
      <c r="A4766" t="s">
        <v>72</v>
      </c>
      <c r="B4766" t="s">
        <v>464</v>
      </c>
      <c r="C4766" t="s">
        <v>14722</v>
      </c>
      <c r="D4766" t="s">
        <v>14723</v>
      </c>
      <c r="E4766" t="s">
        <v>24</v>
      </c>
      <c r="F4766" t="s">
        <v>24</v>
      </c>
      <c r="G4766" t="s">
        <v>12</v>
      </c>
      <c r="H4766">
        <f>72274*(1.01^10)</f>
        <v>79835.459491969406</v>
      </c>
      <c r="I4766">
        <f>297078*(1.01^10)</f>
        <v>328158.93177290988</v>
      </c>
      <c r="J4766" t="s">
        <v>121</v>
      </c>
      <c r="K4766">
        <f t="shared" si="74"/>
        <v>4825.8666437192633</v>
      </c>
    </row>
    <row r="4767" spans="1:11" x14ac:dyDescent="0.2">
      <c r="A4767" t="s">
        <v>72</v>
      </c>
      <c r="B4767" t="s">
        <v>464</v>
      </c>
      <c r="C4767" t="s">
        <v>14724</v>
      </c>
      <c r="D4767" t="s">
        <v>14725</v>
      </c>
      <c r="E4767" t="s">
        <v>318</v>
      </c>
      <c r="F4767" t="s">
        <v>24</v>
      </c>
      <c r="G4767" t="s">
        <v>12</v>
      </c>
      <c r="H4767">
        <f>16795*(1.01^10)</f>
        <v>18552.128596281185</v>
      </c>
      <c r="I4767">
        <f>63783*(1.01^10)</f>
        <v>70456.113025102866</v>
      </c>
      <c r="J4767" t="s">
        <v>14726</v>
      </c>
      <c r="K4767">
        <f t="shared" si="74"/>
        <v>551.58671997886768</v>
      </c>
    </row>
    <row r="4768" spans="1:11" x14ac:dyDescent="0.2">
      <c r="A4768" t="s">
        <v>72</v>
      </c>
      <c r="B4768" t="s">
        <v>464</v>
      </c>
      <c r="C4768" t="s">
        <v>14727</v>
      </c>
      <c r="D4768" t="s">
        <v>14728</v>
      </c>
      <c r="E4768" t="s">
        <v>108</v>
      </c>
      <c r="F4768" t="s">
        <v>12</v>
      </c>
      <c r="G4768" t="s">
        <v>12</v>
      </c>
      <c r="H4768">
        <f>17126*(1.01^10)</f>
        <v>18917.758519792293</v>
      </c>
      <c r="I4768">
        <f>67239*(1.01^10)</f>
        <v>74273.687090523992</v>
      </c>
      <c r="J4768" t="s">
        <v>14729</v>
      </c>
      <c r="K4768">
        <f t="shared" si="74"/>
        <v>759.10059948842309</v>
      </c>
    </row>
    <row r="4769" spans="1:11" x14ac:dyDescent="0.2">
      <c r="A4769" t="s">
        <v>72</v>
      </c>
      <c r="B4769" t="s">
        <v>464</v>
      </c>
      <c r="C4769" t="s">
        <v>14730</v>
      </c>
      <c r="D4769" t="s">
        <v>13663</v>
      </c>
      <c r="E4769" t="s">
        <v>405</v>
      </c>
      <c r="F4769" t="s">
        <v>5</v>
      </c>
      <c r="G4769" t="s">
        <v>24</v>
      </c>
      <c r="H4769">
        <f>8693*(1.01^10)</f>
        <v>9602.4801361996033</v>
      </c>
      <c r="I4769">
        <f>32186*(1.01^10)</f>
        <v>35553.367728485035</v>
      </c>
      <c r="J4769" t="s">
        <v>14731</v>
      </c>
      <c r="K4769">
        <f t="shared" si="74"/>
        <v>313.04478387933011</v>
      </c>
    </row>
    <row r="4770" spans="1:11" x14ac:dyDescent="0.2">
      <c r="A4770" t="s">
        <v>72</v>
      </c>
      <c r="B4770" t="s">
        <v>464</v>
      </c>
      <c r="C4770" t="s">
        <v>14732</v>
      </c>
      <c r="D4770" t="s">
        <v>14733</v>
      </c>
      <c r="E4770" t="s">
        <v>837</v>
      </c>
      <c r="F4770" t="s">
        <v>108</v>
      </c>
      <c r="G4770" t="s">
        <v>24</v>
      </c>
      <c r="H4770">
        <f>10370*(1.01^10)</f>
        <v>11454.931440514194</v>
      </c>
      <c r="I4770">
        <f>39576*(1.01^10)</f>
        <v>43716.525235273839</v>
      </c>
      <c r="J4770" t="s">
        <v>14734</v>
      </c>
      <c r="K4770">
        <f t="shared" si="74"/>
        <v>48.991364562931516</v>
      </c>
    </row>
    <row r="4771" spans="1:11" x14ac:dyDescent="0.2">
      <c r="A4771" t="s">
        <v>72</v>
      </c>
      <c r="B4771" t="s">
        <v>464</v>
      </c>
      <c r="C4771" t="s">
        <v>14735</v>
      </c>
      <c r="D4771" t="s">
        <v>14736</v>
      </c>
      <c r="E4771" t="s">
        <v>313</v>
      </c>
      <c r="F4771" t="s">
        <v>12</v>
      </c>
      <c r="G4771" t="s">
        <v>24</v>
      </c>
      <c r="H4771">
        <f>14289*(1.01^10)</f>
        <v>15783.945550000704</v>
      </c>
      <c r="I4771">
        <f>55781*(1.01^10)</f>
        <v>61616.92677756241</v>
      </c>
      <c r="J4771" t="s">
        <v>14737</v>
      </c>
      <c r="K4771">
        <f t="shared" si="74"/>
        <v>194.50238526861267</v>
      </c>
    </row>
    <row r="4772" spans="1:11" x14ac:dyDescent="0.2">
      <c r="A4772" t="s">
        <v>72</v>
      </c>
      <c r="B4772" t="s">
        <v>464</v>
      </c>
      <c r="C4772" t="s">
        <v>14738</v>
      </c>
      <c r="D4772" t="s">
        <v>14739</v>
      </c>
      <c r="E4772" t="s">
        <v>318</v>
      </c>
      <c r="F4772" t="s">
        <v>24</v>
      </c>
      <c r="G4772" t="s">
        <v>24</v>
      </c>
      <c r="H4772">
        <f>13924*(1.01^10)</f>
        <v>15380.758474225615</v>
      </c>
      <c r="I4772">
        <f>53013*(1.01^10)</f>
        <v>58559.332734424199</v>
      </c>
      <c r="J4772" t="s">
        <v>14740</v>
      </c>
      <c r="K4772">
        <f t="shared" si="74"/>
        <v>415.97117789242526</v>
      </c>
    </row>
    <row r="4773" spans="1:11" x14ac:dyDescent="0.2">
      <c r="A4773" t="s">
        <v>72</v>
      </c>
      <c r="B4773" t="s">
        <v>464</v>
      </c>
      <c r="C4773" t="s">
        <v>14741</v>
      </c>
      <c r="D4773" t="s">
        <v>14742</v>
      </c>
      <c r="E4773" t="s">
        <v>411</v>
      </c>
      <c r="F4773" t="s">
        <v>24</v>
      </c>
      <c r="G4773" t="s">
        <v>24</v>
      </c>
      <c r="H4773">
        <f>12825*(1.01^10)</f>
        <v>14166.778758398701</v>
      </c>
      <c r="I4773">
        <f>49291*(1.01^10)</f>
        <v>54447.92918364369</v>
      </c>
      <c r="J4773" t="s">
        <v>14743</v>
      </c>
      <c r="K4773">
        <f t="shared" si="74"/>
        <v>410.99702241035294</v>
      </c>
    </row>
    <row r="4774" spans="1:11" x14ac:dyDescent="0.2">
      <c r="A4774" t="s">
        <v>72</v>
      </c>
      <c r="B4774" t="s">
        <v>464</v>
      </c>
      <c r="C4774" t="s">
        <v>14744</v>
      </c>
      <c r="D4774" t="s">
        <v>14745</v>
      </c>
      <c r="E4774" t="s">
        <v>458</v>
      </c>
      <c r="F4774" t="s">
        <v>24</v>
      </c>
      <c r="G4774" t="s">
        <v>24</v>
      </c>
      <c r="H4774">
        <f>11894*(1.01^10)</f>
        <v>13138.37555964087</v>
      </c>
      <c r="I4774">
        <f>47639*(1.01^10)</f>
        <v>52623.093432464382</v>
      </c>
      <c r="J4774" t="s">
        <v>14746</v>
      </c>
      <c r="K4774">
        <f t="shared" si="74"/>
        <v>337.09798759364236</v>
      </c>
    </row>
    <row r="4775" spans="1:11" x14ac:dyDescent="0.2">
      <c r="A4775" t="s">
        <v>72</v>
      </c>
      <c r="B4775" t="s">
        <v>464</v>
      </c>
      <c r="C4775" t="s">
        <v>14747</v>
      </c>
      <c r="D4775" t="s">
        <v>14748</v>
      </c>
      <c r="E4775" t="s">
        <v>61</v>
      </c>
      <c r="F4775" t="s">
        <v>12</v>
      </c>
      <c r="G4775" t="s">
        <v>12</v>
      </c>
      <c r="H4775">
        <f>18510*(1.01^10)</f>
        <v>20446.555541361398</v>
      </c>
      <c r="I4775">
        <f>76519*(1.01^10)</f>
        <v>84524.580414339973</v>
      </c>
      <c r="J4775" t="s">
        <v>14749</v>
      </c>
      <c r="K4775">
        <f t="shared" si="74"/>
        <v>354.35694374542015</v>
      </c>
    </row>
    <row r="4776" spans="1:11" x14ac:dyDescent="0.2">
      <c r="A4776" t="s">
        <v>72</v>
      </c>
      <c r="B4776" t="s">
        <v>464</v>
      </c>
      <c r="C4776" t="s">
        <v>14750</v>
      </c>
      <c r="D4776" t="s">
        <v>14751</v>
      </c>
      <c r="E4776" t="s">
        <v>445</v>
      </c>
      <c r="F4776" t="s">
        <v>24</v>
      </c>
      <c r="G4776" t="s">
        <v>24</v>
      </c>
      <c r="H4776">
        <f>14778*(1.01^10)</f>
        <v>16324.105769326783</v>
      </c>
      <c r="I4776">
        <f>58344*(1.01^10)</f>
        <v>64448.073284991333</v>
      </c>
      <c r="J4776" t="s">
        <v>14752</v>
      </c>
      <c r="K4776">
        <f t="shared" si="74"/>
        <v>324.89966430745983</v>
      </c>
    </row>
    <row r="4777" spans="1:11" x14ac:dyDescent="0.2">
      <c r="A4777" t="s">
        <v>72</v>
      </c>
      <c r="B4777" t="s">
        <v>464</v>
      </c>
      <c r="C4777" t="s">
        <v>14753</v>
      </c>
      <c r="D4777" t="s">
        <v>14754</v>
      </c>
      <c r="E4777" t="s">
        <v>44</v>
      </c>
      <c r="F4777" t="s">
        <v>24</v>
      </c>
      <c r="G4777" t="s">
        <v>24</v>
      </c>
      <c r="H4777">
        <f>16650*(1.01^10)</f>
        <v>18391.958388096558</v>
      </c>
      <c r="I4777">
        <f>66041*(1.01^10)</f>
        <v>72950.349784281367</v>
      </c>
      <c r="J4777" t="s">
        <v>14755</v>
      </c>
      <c r="K4777">
        <f t="shared" si="74"/>
        <v>352.93982269783288</v>
      </c>
    </row>
    <row r="4778" spans="1:11" x14ac:dyDescent="0.2">
      <c r="A4778" t="s">
        <v>72</v>
      </c>
      <c r="B4778" t="s">
        <v>464</v>
      </c>
      <c r="C4778" t="s">
        <v>14756</v>
      </c>
      <c r="D4778" t="s">
        <v>14757</v>
      </c>
      <c r="E4778" t="s">
        <v>356</v>
      </c>
      <c r="F4778" t="s">
        <v>24</v>
      </c>
      <c r="G4778" t="s">
        <v>12</v>
      </c>
      <c r="H4778">
        <f>28084*(1.01^10)</f>
        <v>31022.207770048273</v>
      </c>
      <c r="I4778">
        <f>113812*(1.01^10)</f>
        <v>125719.25333730003</v>
      </c>
      <c r="J4778" t="s">
        <v>14758</v>
      </c>
      <c r="K4778">
        <f t="shared" si="74"/>
        <v>517.67520816447552</v>
      </c>
    </row>
    <row r="4779" spans="1:11" x14ac:dyDescent="0.2">
      <c r="A4779" t="s">
        <v>72</v>
      </c>
      <c r="B4779" t="s">
        <v>464</v>
      </c>
      <c r="C4779" t="s">
        <v>14759</v>
      </c>
      <c r="D4779" t="s">
        <v>14760</v>
      </c>
      <c r="E4779" t="s">
        <v>445</v>
      </c>
      <c r="F4779" t="s">
        <v>17</v>
      </c>
      <c r="G4779" t="s">
        <v>24</v>
      </c>
      <c r="H4779">
        <f>14737*(1.01^10)</f>
        <v>16278.816262184924</v>
      </c>
      <c r="I4779">
        <f>58704*(1.01^10)</f>
        <v>64845.737250139362</v>
      </c>
      <c r="J4779" t="s">
        <v>14761</v>
      </c>
      <c r="K4779">
        <f t="shared" si="74"/>
        <v>310.39002110006339</v>
      </c>
    </row>
    <row r="4780" spans="1:11" x14ac:dyDescent="0.2">
      <c r="A4780" t="s">
        <v>72</v>
      </c>
      <c r="B4780" t="s">
        <v>464</v>
      </c>
      <c r="C4780" t="s">
        <v>14762</v>
      </c>
      <c r="D4780" t="s">
        <v>14763</v>
      </c>
      <c r="E4780" t="s">
        <v>61</v>
      </c>
      <c r="F4780" t="s">
        <v>24</v>
      </c>
      <c r="G4780" t="s">
        <v>24</v>
      </c>
      <c r="H4780">
        <f>20885*(1.01^10)</f>
        <v>23070.033089213011</v>
      </c>
      <c r="I4780">
        <f>83876*(1.01^10)</f>
        <v>92651.285390990204</v>
      </c>
      <c r="J4780" t="s">
        <v>14764</v>
      </c>
      <c r="K4780">
        <f t="shared" si="74"/>
        <v>310.53614060699641</v>
      </c>
    </row>
    <row r="4781" spans="1:11" x14ac:dyDescent="0.2">
      <c r="A4781" t="s">
        <v>72</v>
      </c>
      <c r="B4781" t="s">
        <v>464</v>
      </c>
      <c r="C4781" t="s">
        <v>14765</v>
      </c>
      <c r="D4781" t="s">
        <v>14766</v>
      </c>
      <c r="E4781" t="s">
        <v>422</v>
      </c>
      <c r="F4781" t="s">
        <v>24</v>
      </c>
      <c r="G4781" t="s">
        <v>24</v>
      </c>
      <c r="H4781">
        <f>16775*(1.01^10)</f>
        <v>18530.036153772959</v>
      </c>
      <c r="I4781">
        <f>67179*(1.01^10)</f>
        <v>74207.409762999319</v>
      </c>
      <c r="J4781" t="s">
        <v>14767</v>
      </c>
      <c r="K4781">
        <f t="shared" si="74"/>
        <v>318.78613293576865</v>
      </c>
    </row>
    <row r="4782" spans="1:11" x14ac:dyDescent="0.2">
      <c r="A4782" t="s">
        <v>72</v>
      </c>
      <c r="B4782" t="s">
        <v>464</v>
      </c>
      <c r="C4782" t="s">
        <v>14768</v>
      </c>
      <c r="D4782" t="s">
        <v>14769</v>
      </c>
      <c r="E4782" t="s">
        <v>382</v>
      </c>
      <c r="F4782" t="s">
        <v>24</v>
      </c>
      <c r="G4782" t="s">
        <v>12</v>
      </c>
      <c r="H4782">
        <f>14157*(1.01^10)</f>
        <v>15638.135429446425</v>
      </c>
      <c r="I4782">
        <f>55428*(1.01^10)</f>
        <v>61226.995167292254</v>
      </c>
      <c r="J4782" t="s">
        <v>14770</v>
      </c>
      <c r="K4782">
        <f t="shared" si="74"/>
        <v>285.23439478692632</v>
      </c>
    </row>
    <row r="4783" spans="1:11" x14ac:dyDescent="0.2">
      <c r="A4783" t="s">
        <v>72</v>
      </c>
      <c r="B4783" t="s">
        <v>1124</v>
      </c>
      <c r="C4783" t="s">
        <v>14771</v>
      </c>
      <c r="D4783" t="s">
        <v>14772</v>
      </c>
      <c r="E4783" t="s">
        <v>674</v>
      </c>
      <c r="F4783" t="s">
        <v>411</v>
      </c>
      <c r="G4783" t="s">
        <v>24</v>
      </c>
      <c r="H4783">
        <f>7109*(1.01^10)</f>
        <v>7852.7586895482546</v>
      </c>
      <c r="I4783">
        <f>24816*(1.01^10)</f>
        <v>27412.302664204457</v>
      </c>
      <c r="J4783" t="s">
        <v>14773</v>
      </c>
      <c r="K4783">
        <f t="shared" si="74"/>
        <v>42.312369355006943</v>
      </c>
    </row>
    <row r="4784" spans="1:11" x14ac:dyDescent="0.2">
      <c r="A4784" t="s">
        <v>72</v>
      </c>
      <c r="B4784" t="s">
        <v>1124</v>
      </c>
      <c r="C4784" t="s">
        <v>14774</v>
      </c>
      <c r="D4784" t="s">
        <v>14775</v>
      </c>
      <c r="E4784" t="s">
        <v>789</v>
      </c>
      <c r="F4784" t="s">
        <v>313</v>
      </c>
      <c r="G4784" t="s">
        <v>24</v>
      </c>
      <c r="H4784">
        <f>8798*(1.01^10)</f>
        <v>9718.4654593677787</v>
      </c>
      <c r="I4784">
        <f>31765*(1.01^10)</f>
        <v>35088.321813686918</v>
      </c>
      <c r="J4784" t="s">
        <v>14776</v>
      </c>
      <c r="K4784">
        <f t="shared" si="74"/>
        <v>60.888020061719651</v>
      </c>
    </row>
    <row r="4785" spans="1:11" x14ac:dyDescent="0.2">
      <c r="A4785" t="s">
        <v>72</v>
      </c>
      <c r="B4785" t="s">
        <v>1124</v>
      </c>
      <c r="C4785" t="s">
        <v>14777</v>
      </c>
      <c r="D4785" t="s">
        <v>14778</v>
      </c>
      <c r="E4785" t="s">
        <v>77</v>
      </c>
      <c r="F4785" t="s">
        <v>17</v>
      </c>
      <c r="G4785" t="s">
        <v>24</v>
      </c>
      <c r="H4785">
        <f>12604*(1.01^10)</f>
        <v>13922.657268682824</v>
      </c>
      <c r="I4785">
        <f>48376*(1.01^10)</f>
        <v>53437.199938892438</v>
      </c>
      <c r="J4785" t="s">
        <v>14779</v>
      </c>
      <c r="K4785">
        <f t="shared" si="74"/>
        <v>114.77386664882604</v>
      </c>
    </row>
    <row r="4786" spans="1:11" x14ac:dyDescent="0.2">
      <c r="A4786" t="s">
        <v>72</v>
      </c>
      <c r="B4786" t="s">
        <v>1124</v>
      </c>
      <c r="C4786" t="s">
        <v>14780</v>
      </c>
      <c r="D4786" t="s">
        <v>14781</v>
      </c>
      <c r="E4786" t="s">
        <v>264</v>
      </c>
      <c r="F4786" t="s">
        <v>458</v>
      </c>
      <c r="G4786" t="s">
        <v>24</v>
      </c>
      <c r="H4786">
        <f>11091*(1.01^10)</f>
        <v>12251.363992935672</v>
      </c>
      <c r="I4786">
        <f>42947*(1.01^10)</f>
        <v>47440.206420035007</v>
      </c>
      <c r="J4786" t="s">
        <v>14782</v>
      </c>
      <c r="K4786">
        <f t="shared" si="74"/>
        <v>100.84597298241019</v>
      </c>
    </row>
    <row r="4787" spans="1:11" x14ac:dyDescent="0.2">
      <c r="A4787" t="s">
        <v>72</v>
      </c>
      <c r="B4787" t="s">
        <v>1124</v>
      </c>
      <c r="C4787" t="s">
        <v>14783</v>
      </c>
      <c r="D4787" t="s">
        <v>14784</v>
      </c>
      <c r="E4787" t="s">
        <v>5</v>
      </c>
      <c r="F4787" t="s">
        <v>12</v>
      </c>
      <c r="G4787" t="s">
        <v>12</v>
      </c>
      <c r="H4787">
        <f>18689*(1.01^10)</f>
        <v>20644.282901810006</v>
      </c>
      <c r="I4787">
        <f>72117*(1.01^10)</f>
        <v>79662.033818279859</v>
      </c>
      <c r="J4787" t="s">
        <v>14785</v>
      </c>
      <c r="K4787">
        <f t="shared" si="74"/>
        <v>239.86649503760634</v>
      </c>
    </row>
    <row r="4788" spans="1:11" x14ac:dyDescent="0.2">
      <c r="A4788" t="s">
        <v>72</v>
      </c>
      <c r="B4788" t="s">
        <v>1124</v>
      </c>
      <c r="C4788" t="s">
        <v>14786</v>
      </c>
      <c r="D4788" t="s">
        <v>14787</v>
      </c>
      <c r="E4788" t="s">
        <v>405</v>
      </c>
      <c r="F4788" t="s">
        <v>12</v>
      </c>
      <c r="G4788" t="s">
        <v>24</v>
      </c>
      <c r="H4788">
        <f>11837*(1.01^10)</f>
        <v>13075.41209849243</v>
      </c>
      <c r="I4788">
        <f>43067*(1.01^10)</f>
        <v>47572.761075084352</v>
      </c>
      <c r="J4788" t="s">
        <v>14788</v>
      </c>
      <c r="K4788">
        <f t="shared" si="74"/>
        <v>223.84285239301263</v>
      </c>
    </row>
    <row r="4789" spans="1:11" x14ac:dyDescent="0.2">
      <c r="A4789" t="s">
        <v>72</v>
      </c>
      <c r="B4789" t="s">
        <v>1124</v>
      </c>
      <c r="C4789" t="s">
        <v>14789</v>
      </c>
      <c r="D4789" t="s">
        <v>14790</v>
      </c>
      <c r="E4789" t="s">
        <v>410</v>
      </c>
      <c r="F4789" t="s">
        <v>11</v>
      </c>
      <c r="G4789" t="s">
        <v>24</v>
      </c>
      <c r="H4789">
        <f>12126*(1.01^10)</f>
        <v>13394.64789273627</v>
      </c>
      <c r="I4789">
        <f>46802*(1.01^10)</f>
        <v>51698.524713495208</v>
      </c>
      <c r="J4789" t="s">
        <v>14791</v>
      </c>
      <c r="K4789">
        <f t="shared" si="74"/>
        <v>162.13616134872134</v>
      </c>
    </row>
    <row r="4790" spans="1:11" x14ac:dyDescent="0.2">
      <c r="A4790" t="s">
        <v>72</v>
      </c>
      <c r="B4790" t="s">
        <v>1124</v>
      </c>
      <c r="C4790" t="s">
        <v>14792</v>
      </c>
      <c r="D4790" t="s">
        <v>14793</v>
      </c>
      <c r="E4790" t="s">
        <v>137</v>
      </c>
      <c r="F4790" t="s">
        <v>152</v>
      </c>
      <c r="G4790" t="s">
        <v>12</v>
      </c>
      <c r="H4790">
        <f>24233*(1.01^10)</f>
        <v>26768.307965089723</v>
      </c>
      <c r="I4790">
        <f>89048*(1.01^10)</f>
        <v>98364.391023616961</v>
      </c>
      <c r="J4790" t="s">
        <v>14794</v>
      </c>
      <c r="K4790">
        <f t="shared" si="74"/>
        <v>249.30958787425791</v>
      </c>
    </row>
    <row r="4791" spans="1:11" x14ac:dyDescent="0.2">
      <c r="A4791" t="s">
        <v>72</v>
      </c>
      <c r="B4791" t="s">
        <v>1124</v>
      </c>
      <c r="C4791" t="s">
        <v>14795</v>
      </c>
      <c r="D4791" t="s">
        <v>14796</v>
      </c>
      <c r="E4791" t="s">
        <v>180</v>
      </c>
      <c r="F4791" t="s">
        <v>158</v>
      </c>
      <c r="G4791" t="s">
        <v>24</v>
      </c>
      <c r="H4791">
        <f>7726*(1.01^10)</f>
        <v>8534.3105409269683</v>
      </c>
      <c r="I4791">
        <f>26245*(1.01^10)</f>
        <v>28990.807681417067</v>
      </c>
      <c r="J4791" t="s">
        <v>14797</v>
      </c>
      <c r="K4791">
        <f t="shared" si="74"/>
        <v>135.30640463965025</v>
      </c>
    </row>
    <row r="4792" spans="1:11" x14ac:dyDescent="0.2">
      <c r="A4792" t="s">
        <v>72</v>
      </c>
      <c r="B4792" t="s">
        <v>1124</v>
      </c>
      <c r="C4792" t="s">
        <v>14798</v>
      </c>
      <c r="D4792" t="s">
        <v>14799</v>
      </c>
      <c r="E4792" t="s">
        <v>410</v>
      </c>
      <c r="F4792" t="s">
        <v>744</v>
      </c>
      <c r="G4792" t="s">
        <v>24</v>
      </c>
      <c r="H4792">
        <f>10925*(1.01^10)</f>
        <v>12067.996720117411</v>
      </c>
      <c r="I4792">
        <f>40725*(1.01^10)</f>
        <v>44985.736057371316</v>
      </c>
      <c r="J4792" t="s">
        <v>14800</v>
      </c>
      <c r="K4792">
        <f t="shared" si="74"/>
        <v>43.615171530875209</v>
      </c>
    </row>
    <row r="4793" spans="1:11" x14ac:dyDescent="0.2">
      <c r="A4793" t="s">
        <v>72</v>
      </c>
      <c r="B4793" t="s">
        <v>1124</v>
      </c>
      <c r="C4793" t="s">
        <v>14801</v>
      </c>
      <c r="D4793" t="s">
        <v>14802</v>
      </c>
      <c r="E4793" t="s">
        <v>3122</v>
      </c>
      <c r="F4793" t="s">
        <v>6</v>
      </c>
      <c r="G4793" t="s">
        <v>24</v>
      </c>
      <c r="H4793">
        <f>7361*(1.01^10)</f>
        <v>8131.123465151878</v>
      </c>
      <c r="I4793">
        <f>25597*(1.01^10)</f>
        <v>28275.012544150606</v>
      </c>
      <c r="J4793" t="s">
        <v>14803</v>
      </c>
      <c r="K4793">
        <f t="shared" si="74"/>
        <v>59.849463875973626</v>
      </c>
    </row>
    <row r="4794" spans="1:11" x14ac:dyDescent="0.2">
      <c r="A4794" t="s">
        <v>72</v>
      </c>
      <c r="B4794" t="s">
        <v>1124</v>
      </c>
      <c r="C4794" t="s">
        <v>14804</v>
      </c>
      <c r="D4794" t="s">
        <v>14805</v>
      </c>
      <c r="E4794" t="s">
        <v>422</v>
      </c>
      <c r="F4794" t="s">
        <v>12</v>
      </c>
      <c r="G4794" t="s">
        <v>24</v>
      </c>
      <c r="H4794">
        <f>6785*(1.01^10)</f>
        <v>7494.861120915024</v>
      </c>
      <c r="I4794">
        <f>22882*(1.01^10)</f>
        <v>25275.963473659187</v>
      </c>
      <c r="J4794" t="s">
        <v>14806</v>
      </c>
      <c r="K4794">
        <f t="shared" si="74"/>
        <v>52.64230103164045</v>
      </c>
    </row>
    <row r="4795" spans="1:11" x14ac:dyDescent="0.2">
      <c r="A4795" t="s">
        <v>72</v>
      </c>
      <c r="B4795" t="s">
        <v>1124</v>
      </c>
      <c r="C4795" t="s">
        <v>14807</v>
      </c>
      <c r="D4795" t="s">
        <v>14808</v>
      </c>
      <c r="E4795" t="s">
        <v>445</v>
      </c>
      <c r="F4795" t="s">
        <v>17</v>
      </c>
      <c r="G4795" t="s">
        <v>24</v>
      </c>
      <c r="H4795">
        <f>8359*(1.01^10)</f>
        <v>9233.5363463122612</v>
      </c>
      <c r="I4795">
        <f>28392*(1.01^10)</f>
        <v>31362.431384674925</v>
      </c>
      <c r="J4795" t="s">
        <v>14809</v>
      </c>
      <c r="K4795">
        <f t="shared" si="74"/>
        <v>101.8485914779025</v>
      </c>
    </row>
    <row r="4796" spans="1:11" x14ac:dyDescent="0.2">
      <c r="A4796" t="s">
        <v>72</v>
      </c>
      <c r="B4796" t="s">
        <v>1124</v>
      </c>
      <c r="C4796" t="s">
        <v>14810</v>
      </c>
      <c r="D4796" t="s">
        <v>14811</v>
      </c>
      <c r="E4796" t="s">
        <v>44</v>
      </c>
      <c r="F4796" t="s">
        <v>12</v>
      </c>
      <c r="G4796" t="s">
        <v>12</v>
      </c>
      <c r="H4796">
        <f>17896*(1.01^10)</f>
        <v>19768.317556358921</v>
      </c>
      <c r="I4796">
        <f>64580*(1.01^10)</f>
        <v>71336.496859055609</v>
      </c>
      <c r="J4796" t="s">
        <v>14812</v>
      </c>
      <c r="K4796">
        <f t="shared" si="74"/>
        <v>279.50097349879303</v>
      </c>
    </row>
    <row r="4797" spans="1:11" x14ac:dyDescent="0.2">
      <c r="A4797" t="s">
        <v>72</v>
      </c>
      <c r="B4797" t="s">
        <v>1124</v>
      </c>
      <c r="C4797" t="s">
        <v>14813</v>
      </c>
      <c r="D4797" t="s">
        <v>14814</v>
      </c>
      <c r="E4797" t="s">
        <v>445</v>
      </c>
      <c r="F4797" t="s">
        <v>12</v>
      </c>
      <c r="G4797" t="s">
        <v>12</v>
      </c>
      <c r="H4797">
        <f>29466*(1.01^10)</f>
        <v>32548.795547366561</v>
      </c>
      <c r="I4797">
        <f>113872*(1.01^10)</f>
        <v>125785.53066482471</v>
      </c>
      <c r="J4797" t="s">
        <v>14815</v>
      </c>
      <c r="K4797">
        <f t="shared" si="74"/>
        <v>267.51829347946</v>
      </c>
    </row>
    <row r="4798" spans="1:11" x14ac:dyDescent="0.2">
      <c r="A4798" t="s">
        <v>72</v>
      </c>
      <c r="B4798" t="s">
        <v>1124</v>
      </c>
      <c r="C4798" t="s">
        <v>14816</v>
      </c>
      <c r="D4798" t="s">
        <v>14733</v>
      </c>
      <c r="E4798" t="s">
        <v>274</v>
      </c>
      <c r="F4798" t="s">
        <v>12</v>
      </c>
      <c r="G4798" t="s">
        <v>5</v>
      </c>
      <c r="H4798">
        <f>48094*(1.01^10)</f>
        <v>53125.696499526479</v>
      </c>
      <c r="I4798">
        <f>188191*(1.01^10)</f>
        <v>207879.94240326004</v>
      </c>
      <c r="J4798" t="s">
        <v>14817</v>
      </c>
      <c r="K4798">
        <f t="shared" si="74"/>
        <v>410.09459984109145</v>
      </c>
    </row>
    <row r="4799" spans="1:11" x14ac:dyDescent="0.2">
      <c r="A4799" t="s">
        <v>72</v>
      </c>
      <c r="B4799" t="s">
        <v>1124</v>
      </c>
      <c r="C4799" t="s">
        <v>14818</v>
      </c>
      <c r="D4799" t="s">
        <v>14819</v>
      </c>
      <c r="E4799" t="s">
        <v>158</v>
      </c>
      <c r="F4799" t="s">
        <v>24</v>
      </c>
      <c r="G4799" t="s">
        <v>24</v>
      </c>
      <c r="H4799">
        <f>12445*(1.01^10)</f>
        <v>13747.022350742443</v>
      </c>
      <c r="I4799">
        <f>47879*(1.01^10)</f>
        <v>52888.202742563073</v>
      </c>
      <c r="J4799" t="s">
        <v>14820</v>
      </c>
      <c r="K4799">
        <f t="shared" si="74"/>
        <v>136.06983204733083</v>
      </c>
    </row>
    <row r="4800" spans="1:11" x14ac:dyDescent="0.2">
      <c r="A4800" t="s">
        <v>72</v>
      </c>
      <c r="B4800" t="s">
        <v>1124</v>
      </c>
      <c r="C4800" t="s">
        <v>14821</v>
      </c>
      <c r="D4800" t="s">
        <v>14822</v>
      </c>
      <c r="E4800" t="s">
        <v>158</v>
      </c>
      <c r="F4800" t="s">
        <v>24</v>
      </c>
      <c r="G4800" t="s">
        <v>12</v>
      </c>
      <c r="H4800">
        <f>24563*(1.01^10)</f>
        <v>27132.833266475423</v>
      </c>
      <c r="I4800">
        <f>95394*(1.01^10)</f>
        <v>105374.32303147647</v>
      </c>
      <c r="J4800" t="s">
        <v>14823</v>
      </c>
      <c r="K4800">
        <f t="shared" si="74"/>
        <v>251.58653301144832</v>
      </c>
    </row>
    <row r="4801" spans="1:11" x14ac:dyDescent="0.2">
      <c r="A4801" t="s">
        <v>72</v>
      </c>
      <c r="B4801" t="s">
        <v>1124</v>
      </c>
      <c r="C4801" t="s">
        <v>14824</v>
      </c>
      <c r="D4801" t="s">
        <v>14462</v>
      </c>
      <c r="E4801" t="s">
        <v>411</v>
      </c>
      <c r="F4801" t="s">
        <v>5</v>
      </c>
      <c r="G4801" t="s">
        <v>24</v>
      </c>
      <c r="H4801">
        <f>6871*(1.01^10)</f>
        <v>7589.8586237003874</v>
      </c>
      <c r="I4801">
        <f>28125*(1.01^10)</f>
        <v>31067.497277190134</v>
      </c>
      <c r="J4801" t="s">
        <v>14825</v>
      </c>
      <c r="K4801">
        <f t="shared" si="74"/>
        <v>31.952342941313713</v>
      </c>
    </row>
    <row r="4802" spans="1:11" x14ac:dyDescent="0.2">
      <c r="A4802" t="s">
        <v>72</v>
      </c>
      <c r="B4802" t="s">
        <v>1124</v>
      </c>
      <c r="C4802" t="s">
        <v>14826</v>
      </c>
      <c r="D4802" t="s">
        <v>14827</v>
      </c>
      <c r="E4802" t="s">
        <v>411</v>
      </c>
      <c r="F4802" t="s">
        <v>24</v>
      </c>
      <c r="G4802" t="s">
        <v>24</v>
      </c>
      <c r="H4802">
        <f>11779*(1.01^10)</f>
        <v>13011.344015218581</v>
      </c>
      <c r="I4802">
        <f>42587*(1.01^10)</f>
        <v>47042.542454886978</v>
      </c>
      <c r="J4802" t="s">
        <v>14828</v>
      </c>
      <c r="K4802">
        <f t="shared" si="74"/>
        <v>134.87531170874959</v>
      </c>
    </row>
    <row r="4803" spans="1:11" x14ac:dyDescent="0.2">
      <c r="A4803" t="s">
        <v>72</v>
      </c>
      <c r="B4803" t="s">
        <v>1124</v>
      </c>
      <c r="C4803" t="s">
        <v>14829</v>
      </c>
      <c r="D4803" t="s">
        <v>14830</v>
      </c>
      <c r="E4803" t="s">
        <v>405</v>
      </c>
      <c r="F4803" t="s">
        <v>12</v>
      </c>
      <c r="G4803" t="s">
        <v>24</v>
      </c>
      <c r="H4803">
        <f>10015*(1.01^10)</f>
        <v>11062.790585993216</v>
      </c>
      <c r="I4803">
        <f>36998*(1.01^10)</f>
        <v>40868.809395963755</v>
      </c>
      <c r="J4803" t="s">
        <v>14831</v>
      </c>
      <c r="K4803">
        <f t="shared" ref="K4803:K4866" si="75">I4803/J4803</f>
        <v>243.14571593019343</v>
      </c>
    </row>
    <row r="4804" spans="1:11" x14ac:dyDescent="0.2">
      <c r="A4804" t="s">
        <v>72</v>
      </c>
      <c r="B4804" t="s">
        <v>1124</v>
      </c>
      <c r="C4804" t="s">
        <v>14832</v>
      </c>
      <c r="D4804" t="s">
        <v>14833</v>
      </c>
      <c r="E4804" t="s">
        <v>108</v>
      </c>
      <c r="F4804" t="s">
        <v>24</v>
      </c>
      <c r="G4804" t="s">
        <v>24</v>
      </c>
      <c r="H4804">
        <f>14390*(1.01^10)</f>
        <v>15895.512384667236</v>
      </c>
      <c r="I4804">
        <f>54897*(1.01^10)</f>
        <v>60640.440818698909</v>
      </c>
      <c r="J4804" t="s">
        <v>14834</v>
      </c>
      <c r="K4804">
        <f t="shared" si="75"/>
        <v>236.80366547420465</v>
      </c>
    </row>
    <row r="4805" spans="1:11" x14ac:dyDescent="0.2">
      <c r="A4805" t="s">
        <v>72</v>
      </c>
      <c r="B4805" t="s">
        <v>1124</v>
      </c>
      <c r="C4805" t="s">
        <v>14835</v>
      </c>
      <c r="D4805" t="s">
        <v>14836</v>
      </c>
      <c r="E4805" t="s">
        <v>458</v>
      </c>
      <c r="F4805" t="s">
        <v>24</v>
      </c>
      <c r="G4805" t="s">
        <v>24</v>
      </c>
      <c r="H4805">
        <f>11659*(1.01^10)</f>
        <v>12878.789360169236</v>
      </c>
      <c r="I4805">
        <f>41955*(1.01^10)</f>
        <v>46344.421271627092</v>
      </c>
      <c r="J4805" t="s">
        <v>14837</v>
      </c>
      <c r="K4805">
        <f t="shared" si="75"/>
        <v>283.99796143905297</v>
      </c>
    </row>
    <row r="4806" spans="1:11" x14ac:dyDescent="0.2">
      <c r="A4806" t="s">
        <v>72</v>
      </c>
      <c r="B4806" t="s">
        <v>1124</v>
      </c>
      <c r="C4806" t="s">
        <v>14838</v>
      </c>
      <c r="D4806" t="s">
        <v>14839</v>
      </c>
      <c r="E4806" t="s">
        <v>152</v>
      </c>
      <c r="F4806" t="s">
        <v>24</v>
      </c>
      <c r="G4806" t="s">
        <v>24</v>
      </c>
      <c r="H4806">
        <f>9067*(1.01^10)</f>
        <v>10015.608811103393</v>
      </c>
      <c r="I4806">
        <f>33395*(1.01^10)</f>
        <v>36888.855878107184</v>
      </c>
      <c r="J4806" t="s">
        <v>14840</v>
      </c>
      <c r="K4806">
        <f t="shared" si="75"/>
        <v>110.88715597240761</v>
      </c>
    </row>
    <row r="4807" spans="1:11" x14ac:dyDescent="0.2">
      <c r="A4807" t="s">
        <v>72</v>
      </c>
      <c r="B4807" t="s">
        <v>1124</v>
      </c>
      <c r="C4807" t="s">
        <v>14841</v>
      </c>
      <c r="D4807" t="s">
        <v>14842</v>
      </c>
      <c r="E4807" t="s">
        <v>422</v>
      </c>
      <c r="F4807" t="s">
        <v>24</v>
      </c>
      <c r="G4807" t="s">
        <v>24</v>
      </c>
      <c r="H4807">
        <f>13217*(1.01^10)</f>
        <v>14599.790631559894</v>
      </c>
      <c r="I4807">
        <f>49041*(1.01^10)</f>
        <v>54171.773652290889</v>
      </c>
      <c r="J4807" t="s">
        <v>14843</v>
      </c>
      <c r="K4807">
        <f t="shared" si="75"/>
        <v>163.44083677873473</v>
      </c>
    </row>
    <row r="4808" spans="1:11" x14ac:dyDescent="0.2">
      <c r="A4808" t="s">
        <v>72</v>
      </c>
      <c r="B4808" t="s">
        <v>1124</v>
      </c>
      <c r="C4808" t="s">
        <v>14844</v>
      </c>
      <c r="D4808" t="s">
        <v>14845</v>
      </c>
      <c r="E4808" t="s">
        <v>108</v>
      </c>
      <c r="F4808" t="s">
        <v>11</v>
      </c>
      <c r="G4808" t="s">
        <v>24</v>
      </c>
      <c r="H4808">
        <f>9305*(1.01^10)</f>
        <v>10278.50887695126</v>
      </c>
      <c r="I4808">
        <f>34794*(1.01^10)</f>
        <v>38434.222231557455</v>
      </c>
      <c r="J4808" t="s">
        <v>14846</v>
      </c>
      <c r="K4808">
        <f t="shared" si="75"/>
        <v>70.482517415957844</v>
      </c>
    </row>
    <row r="4809" spans="1:11" x14ac:dyDescent="0.2">
      <c r="A4809" t="s">
        <v>72</v>
      </c>
      <c r="B4809" t="s">
        <v>1124</v>
      </c>
      <c r="C4809" t="s">
        <v>14847</v>
      </c>
      <c r="D4809" t="s">
        <v>14848</v>
      </c>
      <c r="E4809" t="s">
        <v>356</v>
      </c>
      <c r="F4809" t="s">
        <v>12</v>
      </c>
      <c r="G4809" t="s">
        <v>24</v>
      </c>
      <c r="H4809">
        <f>15775*(1.01^10)</f>
        <v>17425.414028361756</v>
      </c>
      <c r="I4809">
        <f>59652*(1.01^10)</f>
        <v>65892.919025029187</v>
      </c>
      <c r="J4809" t="s">
        <v>14849</v>
      </c>
      <c r="K4809">
        <f t="shared" si="75"/>
        <v>120.59204642092377</v>
      </c>
    </row>
    <row r="4810" spans="1:11" x14ac:dyDescent="0.2">
      <c r="A4810" t="s">
        <v>72</v>
      </c>
      <c r="B4810" t="s">
        <v>1124</v>
      </c>
      <c r="C4810" t="s">
        <v>14850</v>
      </c>
      <c r="D4810" t="s">
        <v>14851</v>
      </c>
      <c r="E4810" t="s">
        <v>1340</v>
      </c>
      <c r="F4810" t="s">
        <v>12</v>
      </c>
      <c r="G4810" t="s">
        <v>24</v>
      </c>
      <c r="H4810">
        <f>14969*(1.01^10)</f>
        <v>16535.088595280326</v>
      </c>
      <c r="I4810">
        <f>58444*(1.01^10)</f>
        <v>64558.535497532452</v>
      </c>
      <c r="J4810" t="s">
        <v>14852</v>
      </c>
      <c r="K4810">
        <f t="shared" si="75"/>
        <v>133.22674576158474</v>
      </c>
    </row>
    <row r="4811" spans="1:11" x14ac:dyDescent="0.2">
      <c r="A4811" t="s">
        <v>72</v>
      </c>
      <c r="B4811" t="s">
        <v>1124</v>
      </c>
      <c r="C4811" t="s">
        <v>14853</v>
      </c>
      <c r="D4811" t="s">
        <v>14854</v>
      </c>
      <c r="E4811" t="s">
        <v>458</v>
      </c>
      <c r="F4811" t="s">
        <v>12</v>
      </c>
      <c r="G4811" t="s">
        <v>12</v>
      </c>
      <c r="H4811">
        <f>20982*(1.01^10)</f>
        <v>23177.181435377897</v>
      </c>
      <c r="I4811">
        <f>77043*(1.01^10)</f>
        <v>85103.402408055452</v>
      </c>
      <c r="J4811" t="s">
        <v>14855</v>
      </c>
      <c r="K4811">
        <f t="shared" si="75"/>
        <v>306.29312919991952</v>
      </c>
    </row>
    <row r="4812" spans="1:11" x14ac:dyDescent="0.2">
      <c r="A4812" t="s">
        <v>72</v>
      </c>
      <c r="B4812" t="s">
        <v>1124</v>
      </c>
      <c r="C4812" t="s">
        <v>14856</v>
      </c>
      <c r="D4812" t="s">
        <v>14857</v>
      </c>
      <c r="E4812" t="s">
        <v>1340</v>
      </c>
      <c r="F4812" t="s">
        <v>24</v>
      </c>
      <c r="G4812" t="s">
        <v>24</v>
      </c>
      <c r="H4812">
        <f>14166*(1.01^10)</f>
        <v>15648.077028575126</v>
      </c>
      <c r="I4812">
        <f>52841*(1.01^10)</f>
        <v>58369.337728853468</v>
      </c>
      <c r="J4812" t="s">
        <v>14858</v>
      </c>
      <c r="K4812">
        <f t="shared" si="75"/>
        <v>225.90271441680053</v>
      </c>
    </row>
    <row r="4813" spans="1:11" x14ac:dyDescent="0.2">
      <c r="A4813" t="s">
        <v>72</v>
      </c>
      <c r="B4813" t="s">
        <v>1124</v>
      </c>
      <c r="C4813" t="s">
        <v>14859</v>
      </c>
      <c r="D4813" t="s">
        <v>14860</v>
      </c>
      <c r="E4813" t="s">
        <v>108</v>
      </c>
      <c r="F4813" t="s">
        <v>24</v>
      </c>
      <c r="G4813" t="s">
        <v>24</v>
      </c>
      <c r="H4813">
        <f>9694*(1.01^10)</f>
        <v>10708.206883736219</v>
      </c>
      <c r="I4813">
        <f>35342*(1.01^10)</f>
        <v>39039.555156282797</v>
      </c>
      <c r="J4813" t="s">
        <v>14861</v>
      </c>
      <c r="K4813">
        <f t="shared" si="75"/>
        <v>188.78921323257936</v>
      </c>
    </row>
    <row r="4814" spans="1:11" x14ac:dyDescent="0.2">
      <c r="A4814" t="s">
        <v>72</v>
      </c>
      <c r="B4814" t="s">
        <v>1124</v>
      </c>
      <c r="C4814" t="s">
        <v>14862</v>
      </c>
      <c r="D4814" t="s">
        <v>14863</v>
      </c>
      <c r="E4814" t="s">
        <v>77</v>
      </c>
      <c r="F4814" t="s">
        <v>24</v>
      </c>
      <c r="G4814" t="s">
        <v>24</v>
      </c>
      <c r="H4814">
        <f>16732*(1.01^10)</f>
        <v>18482.537402380276</v>
      </c>
      <c r="I4814">
        <f>61502*(1.01^10)</f>
        <v>67936.46995703991</v>
      </c>
      <c r="J4814" t="s">
        <v>14864</v>
      </c>
      <c r="K4814">
        <f t="shared" si="75"/>
        <v>278.01391773829152</v>
      </c>
    </row>
    <row r="4815" spans="1:11" x14ac:dyDescent="0.2">
      <c r="A4815" t="s">
        <v>72</v>
      </c>
      <c r="B4815" t="s">
        <v>1124</v>
      </c>
      <c r="C4815" t="s">
        <v>14865</v>
      </c>
      <c r="D4815" t="s">
        <v>14866</v>
      </c>
      <c r="E4815" t="s">
        <v>445</v>
      </c>
      <c r="F4815" t="s">
        <v>24</v>
      </c>
      <c r="G4815" t="s">
        <v>24</v>
      </c>
      <c r="H4815">
        <f>16137*(1.01^10)</f>
        <v>17825.287237760611</v>
      </c>
      <c r="I4815">
        <f>60020*(1.01^10)</f>
        <v>66299.419967180511</v>
      </c>
      <c r="J4815" t="s">
        <v>14867</v>
      </c>
      <c r="K4815">
        <f t="shared" si="75"/>
        <v>295.49483666921702</v>
      </c>
    </row>
    <row r="4816" spans="1:11" x14ac:dyDescent="0.2">
      <c r="A4816" t="s">
        <v>72</v>
      </c>
      <c r="B4816" t="s">
        <v>1124</v>
      </c>
      <c r="C4816" t="s">
        <v>14868</v>
      </c>
      <c r="D4816" t="s">
        <v>14869</v>
      </c>
      <c r="E4816" t="s">
        <v>61</v>
      </c>
      <c r="F4816" t="s">
        <v>24</v>
      </c>
      <c r="G4816" t="s">
        <v>24</v>
      </c>
      <c r="H4816">
        <f>25665*(1.01^10)</f>
        <v>28350.12684867857</v>
      </c>
      <c r="I4816">
        <f>93211*(1.01^10)</f>
        <v>102962.93293170381</v>
      </c>
      <c r="J4816" t="s">
        <v>14870</v>
      </c>
      <c r="K4816">
        <f t="shared" si="75"/>
        <v>512.01840583264664</v>
      </c>
    </row>
    <row r="4817" spans="1:11" x14ac:dyDescent="0.2">
      <c r="A4817" t="s">
        <v>72</v>
      </c>
      <c r="B4817" t="s">
        <v>1124</v>
      </c>
      <c r="C4817" t="s">
        <v>14871</v>
      </c>
      <c r="D4817" t="s">
        <v>14872</v>
      </c>
      <c r="E4817" t="s">
        <v>382</v>
      </c>
      <c r="F4817" t="s">
        <v>24</v>
      </c>
      <c r="G4817" t="s">
        <v>11</v>
      </c>
      <c r="H4817">
        <f>82743*(1.01^10)</f>
        <v>91399.748522899317</v>
      </c>
      <c r="I4817">
        <f>313504*(1.01^10)</f>
        <v>346303.4548049143</v>
      </c>
      <c r="J4817" t="s">
        <v>14873</v>
      </c>
      <c r="K4817">
        <f t="shared" si="75"/>
        <v>1176.8395539846288</v>
      </c>
    </row>
    <row r="4818" spans="1:11" x14ac:dyDescent="0.2">
      <c r="A4818" t="s">
        <v>72</v>
      </c>
      <c r="B4818" t="s">
        <v>1124</v>
      </c>
      <c r="C4818" t="s">
        <v>14874</v>
      </c>
      <c r="D4818" t="s">
        <v>14875</v>
      </c>
      <c r="E4818" t="s">
        <v>1340</v>
      </c>
      <c r="F4818" t="s">
        <v>17</v>
      </c>
      <c r="G4818" t="s">
        <v>24</v>
      </c>
      <c r="H4818">
        <f>16575*(1.01^10)</f>
        <v>18309.111728690717</v>
      </c>
      <c r="I4818">
        <f>58485*(1.01^10)</f>
        <v>64603.825004674312</v>
      </c>
      <c r="J4818" t="s">
        <v>14876</v>
      </c>
      <c r="K4818">
        <f t="shared" si="75"/>
        <v>360.55985781002454</v>
      </c>
    </row>
    <row r="4819" spans="1:11" x14ac:dyDescent="0.2">
      <c r="A4819" t="s">
        <v>72</v>
      </c>
      <c r="B4819" t="s">
        <v>1124</v>
      </c>
      <c r="C4819" t="s">
        <v>14877</v>
      </c>
      <c r="D4819" t="s">
        <v>14878</v>
      </c>
      <c r="E4819" t="s">
        <v>796</v>
      </c>
      <c r="F4819" t="s">
        <v>12</v>
      </c>
      <c r="G4819" t="s">
        <v>24</v>
      </c>
      <c r="H4819">
        <f>17242*(1.01^10)</f>
        <v>19045.894686339991</v>
      </c>
      <c r="I4819">
        <f>61325*(1.01^10)</f>
        <v>67740.951840842128</v>
      </c>
      <c r="J4819" t="s">
        <v>14879</v>
      </c>
      <c r="K4819">
        <f t="shared" si="75"/>
        <v>334.32899317939632</v>
      </c>
    </row>
    <row r="4820" spans="1:11" x14ac:dyDescent="0.2">
      <c r="A4820" t="s">
        <v>72</v>
      </c>
      <c r="B4820" t="s">
        <v>1124</v>
      </c>
      <c r="C4820" t="s">
        <v>14880</v>
      </c>
      <c r="D4820" t="s">
        <v>14881</v>
      </c>
      <c r="E4820" t="s">
        <v>44</v>
      </c>
      <c r="F4820" t="s">
        <v>24</v>
      </c>
      <c r="G4820" t="s">
        <v>24</v>
      </c>
      <c r="H4820">
        <f>13933*(1.01^10)</f>
        <v>15390.700073354315</v>
      </c>
      <c r="I4820">
        <f>48909*(1.01^10)</f>
        <v>54025.963531736612</v>
      </c>
      <c r="J4820" t="s">
        <v>14882</v>
      </c>
      <c r="K4820">
        <f t="shared" si="75"/>
        <v>262.89700236342128</v>
      </c>
    </row>
    <row r="4821" spans="1:11" x14ac:dyDescent="0.2">
      <c r="A4821" t="s">
        <v>72</v>
      </c>
      <c r="B4821" t="s">
        <v>1124</v>
      </c>
      <c r="C4821" t="s">
        <v>14883</v>
      </c>
      <c r="D4821" t="s">
        <v>14884</v>
      </c>
      <c r="E4821" t="s">
        <v>411</v>
      </c>
      <c r="F4821" t="s">
        <v>12</v>
      </c>
      <c r="G4821" t="s">
        <v>24</v>
      </c>
      <c r="H4821">
        <f>17135*(1.01^10)</f>
        <v>18927.700118920995</v>
      </c>
      <c r="I4821">
        <f>61321*(1.01^10)</f>
        <v>67736.533352340484</v>
      </c>
      <c r="J4821" t="s">
        <v>14885</v>
      </c>
      <c r="K4821">
        <f t="shared" si="75"/>
        <v>314.58708996618469</v>
      </c>
    </row>
    <row r="4822" spans="1:11" x14ac:dyDescent="0.2">
      <c r="A4822" t="s">
        <v>72</v>
      </c>
      <c r="B4822" t="s">
        <v>1124</v>
      </c>
      <c r="C4822" t="s">
        <v>14886</v>
      </c>
      <c r="D4822" t="s">
        <v>14887</v>
      </c>
      <c r="E4822" t="s">
        <v>356</v>
      </c>
      <c r="F4822" t="s">
        <v>24</v>
      </c>
      <c r="G4822" t="s">
        <v>24</v>
      </c>
      <c r="H4822">
        <f>15199*(1.01^10)</f>
        <v>16789.151684124899</v>
      </c>
      <c r="I4822">
        <f>55750*(1.01^10)</f>
        <v>61582.683491674667</v>
      </c>
      <c r="J4822" t="s">
        <v>14888</v>
      </c>
      <c r="K4822">
        <f t="shared" si="75"/>
        <v>348.97351313551911</v>
      </c>
    </row>
    <row r="4823" spans="1:11" x14ac:dyDescent="0.2">
      <c r="A4823" t="s">
        <v>72</v>
      </c>
      <c r="B4823" t="s">
        <v>1124</v>
      </c>
      <c r="C4823" t="s">
        <v>14889</v>
      </c>
      <c r="D4823" t="s">
        <v>14890</v>
      </c>
      <c r="E4823" t="s">
        <v>61</v>
      </c>
      <c r="F4823" t="s">
        <v>24</v>
      </c>
      <c r="G4823" t="s">
        <v>24</v>
      </c>
      <c r="H4823">
        <f>17409*(1.01^10)</f>
        <v>19230.366581283663</v>
      </c>
      <c r="I4823">
        <f>63828*(1.01^10)</f>
        <v>70505.821020746371</v>
      </c>
      <c r="J4823" t="s">
        <v>14891</v>
      </c>
      <c r="K4823">
        <f t="shared" si="75"/>
        <v>296.35603384375156</v>
      </c>
    </row>
    <row r="4824" spans="1:11" x14ac:dyDescent="0.2">
      <c r="A4824" t="s">
        <v>72</v>
      </c>
      <c r="B4824" t="s">
        <v>1124</v>
      </c>
      <c r="C4824" t="s">
        <v>14892</v>
      </c>
      <c r="D4824" t="s">
        <v>14893</v>
      </c>
      <c r="E4824" t="s">
        <v>1340</v>
      </c>
      <c r="F4824" t="s">
        <v>12</v>
      </c>
      <c r="G4824" t="s">
        <v>24</v>
      </c>
      <c r="H4824">
        <f>14899*(1.01^10)</f>
        <v>16457.765046501539</v>
      </c>
      <c r="I4824">
        <f>54320*(1.01^10)</f>
        <v>60003.073852336645</v>
      </c>
      <c r="J4824" t="s">
        <v>14894</v>
      </c>
      <c r="K4824">
        <f t="shared" si="75"/>
        <v>408.56487149852705</v>
      </c>
    </row>
    <row r="4825" spans="1:11" x14ac:dyDescent="0.2">
      <c r="A4825" t="s">
        <v>72</v>
      </c>
      <c r="B4825" t="s">
        <v>1124</v>
      </c>
      <c r="C4825" t="s">
        <v>14895</v>
      </c>
      <c r="D4825" t="s">
        <v>14896</v>
      </c>
      <c r="E4825" t="s">
        <v>445</v>
      </c>
      <c r="F4825" t="s">
        <v>24</v>
      </c>
      <c r="G4825" t="s">
        <v>24</v>
      </c>
      <c r="H4825">
        <f>12511*(1.01^10)</f>
        <v>13819.927411019582</v>
      </c>
      <c r="I4825">
        <f>43909*(1.01^10)</f>
        <v>48502.852904680592</v>
      </c>
      <c r="J4825" t="s">
        <v>14897</v>
      </c>
      <c r="K4825">
        <f t="shared" si="75"/>
        <v>283.98792190348439</v>
      </c>
    </row>
    <row r="4826" spans="1:11" x14ac:dyDescent="0.2">
      <c r="A4826" t="s">
        <v>72</v>
      </c>
      <c r="B4826" t="s">
        <v>1124</v>
      </c>
      <c r="C4826" t="s">
        <v>14898</v>
      </c>
      <c r="D4826" t="s">
        <v>14899</v>
      </c>
      <c r="E4826" t="s">
        <v>61</v>
      </c>
      <c r="F4826" t="s">
        <v>12</v>
      </c>
      <c r="G4826" t="s">
        <v>12</v>
      </c>
      <c r="H4826">
        <f>19148*(1.01^10)</f>
        <v>21151.30445737375</v>
      </c>
      <c r="I4826">
        <f>68548*(1.01^10)</f>
        <v>75719.637452687268</v>
      </c>
      <c r="J4826" t="s">
        <v>14900</v>
      </c>
      <c r="K4826">
        <f t="shared" si="75"/>
        <v>370.01184192244159</v>
      </c>
    </row>
    <row r="4827" spans="1:11" x14ac:dyDescent="0.2">
      <c r="A4827" t="s">
        <v>72</v>
      </c>
      <c r="B4827" t="s">
        <v>1124</v>
      </c>
      <c r="C4827" t="s">
        <v>14901</v>
      </c>
      <c r="D4827" t="s">
        <v>14902</v>
      </c>
      <c r="E4827" t="s">
        <v>1340</v>
      </c>
      <c r="F4827" t="s">
        <v>11</v>
      </c>
      <c r="G4827" t="s">
        <v>24</v>
      </c>
      <c r="H4827">
        <f>14269*(1.01^10)</f>
        <v>15761.853107492481</v>
      </c>
      <c r="I4827">
        <f>49851*(1.01^10)</f>
        <v>55066.517573873971</v>
      </c>
      <c r="J4827" t="s">
        <v>14903</v>
      </c>
      <c r="K4827">
        <f t="shared" si="75"/>
        <v>213.85867180290498</v>
      </c>
    </row>
    <row r="4828" spans="1:11" x14ac:dyDescent="0.2">
      <c r="A4828" t="s">
        <v>72</v>
      </c>
      <c r="B4828" t="s">
        <v>1124</v>
      </c>
      <c r="C4828" t="s">
        <v>14904</v>
      </c>
      <c r="D4828" t="s">
        <v>14905</v>
      </c>
      <c r="E4828" t="s">
        <v>318</v>
      </c>
      <c r="F4828" t="s">
        <v>24</v>
      </c>
      <c r="G4828" t="s">
        <v>24</v>
      </c>
      <c r="H4828">
        <f>12441*(1.01^10)</f>
        <v>13742.603862240798</v>
      </c>
      <c r="I4828">
        <f>45078*(1.01^10)</f>
        <v>49794.156169286289</v>
      </c>
      <c r="J4828" t="s">
        <v>14906</v>
      </c>
      <c r="K4828">
        <f t="shared" si="75"/>
        <v>234.84551618468248</v>
      </c>
    </row>
    <row r="4829" spans="1:11" x14ac:dyDescent="0.2">
      <c r="A4829" t="s">
        <v>56</v>
      </c>
      <c r="B4829" t="s">
        <v>2149</v>
      </c>
      <c r="C4829" t="s">
        <v>14907</v>
      </c>
      <c r="D4829" t="s">
        <v>14908</v>
      </c>
      <c r="E4829" t="s">
        <v>16</v>
      </c>
      <c r="F4829" t="s">
        <v>17</v>
      </c>
      <c r="G4829" t="s">
        <v>24</v>
      </c>
      <c r="H4829">
        <f>16823*(1.01^10)</f>
        <v>18583.058015792696</v>
      </c>
      <c r="I4829">
        <f>65616*(1.01^10)</f>
        <v>72480.885380981606</v>
      </c>
      <c r="J4829" t="s">
        <v>14909</v>
      </c>
      <c r="K4829">
        <f t="shared" si="75"/>
        <v>508.47507345906575</v>
      </c>
    </row>
    <row r="4830" spans="1:11" x14ac:dyDescent="0.2">
      <c r="A4830" t="s">
        <v>56</v>
      </c>
      <c r="B4830" t="s">
        <v>2149</v>
      </c>
      <c r="C4830" t="s">
        <v>14910</v>
      </c>
      <c r="D4830" t="s">
        <v>14911</v>
      </c>
      <c r="E4830" t="s">
        <v>503</v>
      </c>
      <c r="F4830" t="s">
        <v>92</v>
      </c>
      <c r="G4830" t="s">
        <v>24</v>
      </c>
      <c r="H4830">
        <f>12984*(1.01^10)</f>
        <v>14342.413676339082</v>
      </c>
      <c r="I4830">
        <f>55848*(1.01^10)</f>
        <v>61690.936459964963</v>
      </c>
      <c r="J4830" t="s">
        <v>14912</v>
      </c>
      <c r="K4830">
        <f t="shared" si="75"/>
        <v>147.62864020278226</v>
      </c>
    </row>
    <row r="4831" spans="1:11" x14ac:dyDescent="0.2">
      <c r="A4831" t="s">
        <v>56</v>
      </c>
      <c r="B4831" t="s">
        <v>2149</v>
      </c>
      <c r="C4831" t="s">
        <v>14913</v>
      </c>
      <c r="D4831" t="s">
        <v>14914</v>
      </c>
      <c r="E4831" t="s">
        <v>796</v>
      </c>
      <c r="F4831" t="s">
        <v>24</v>
      </c>
      <c r="G4831" t="s">
        <v>24</v>
      </c>
      <c r="H4831">
        <f>10429*(1.01^10)</f>
        <v>11520.104145913454</v>
      </c>
      <c r="I4831">
        <f>44157*(1.01^10)</f>
        <v>48776.799191782571</v>
      </c>
      <c r="J4831" t="s">
        <v>14915</v>
      </c>
      <c r="K4831">
        <f t="shared" si="75"/>
        <v>323.9168683159013</v>
      </c>
    </row>
    <row r="4832" spans="1:11" x14ac:dyDescent="0.2">
      <c r="A4832" t="s">
        <v>56</v>
      </c>
      <c r="B4832" t="s">
        <v>2149</v>
      </c>
      <c r="C4832" t="s">
        <v>14916</v>
      </c>
      <c r="D4832" t="s">
        <v>14917</v>
      </c>
      <c r="E4832" t="s">
        <v>520</v>
      </c>
      <c r="F4832" t="s">
        <v>17</v>
      </c>
      <c r="G4832" t="s">
        <v>24</v>
      </c>
      <c r="H4832">
        <f>17148*(1.01^10)</f>
        <v>18942.060206551338</v>
      </c>
      <c r="I4832">
        <f>67093*(1.01^10)</f>
        <v>74112.412260213954</v>
      </c>
      <c r="J4832" t="s">
        <v>14918</v>
      </c>
      <c r="K4832">
        <f t="shared" si="75"/>
        <v>360.12714218481398</v>
      </c>
    </row>
    <row r="4833" spans="1:11" x14ac:dyDescent="0.2">
      <c r="A4833" t="s">
        <v>56</v>
      </c>
      <c r="B4833" t="s">
        <v>2149</v>
      </c>
      <c r="C4833" t="s">
        <v>14919</v>
      </c>
      <c r="D4833" t="s">
        <v>14920</v>
      </c>
      <c r="E4833" t="s">
        <v>185</v>
      </c>
      <c r="F4833" t="s">
        <v>152</v>
      </c>
      <c r="G4833" t="s">
        <v>24</v>
      </c>
      <c r="H4833">
        <f>16074*(1.01^10)</f>
        <v>17755.696043859705</v>
      </c>
      <c r="I4833">
        <f>64639*(1.01^10)</f>
        <v>71401.66956445486</v>
      </c>
      <c r="J4833" t="s">
        <v>14921</v>
      </c>
      <c r="K4833">
        <f t="shared" si="75"/>
        <v>451.18830670411137</v>
      </c>
    </row>
    <row r="4834" spans="1:11" x14ac:dyDescent="0.2">
      <c r="A4834" t="s">
        <v>56</v>
      </c>
      <c r="B4834" t="s">
        <v>2149</v>
      </c>
      <c r="C4834" t="s">
        <v>14922</v>
      </c>
      <c r="D4834" t="s">
        <v>14923</v>
      </c>
      <c r="E4834" t="s">
        <v>137</v>
      </c>
      <c r="F4834" t="s">
        <v>92</v>
      </c>
      <c r="G4834" t="s">
        <v>24</v>
      </c>
      <c r="H4834">
        <f>12851*(1.01^10)</f>
        <v>14195.498933659392</v>
      </c>
      <c r="I4834">
        <f>52737*(1.01^10)</f>
        <v>58254.457027810706</v>
      </c>
      <c r="J4834" t="s">
        <v>14924</v>
      </c>
      <c r="K4834">
        <f t="shared" si="75"/>
        <v>271.04566050889463</v>
      </c>
    </row>
    <row r="4835" spans="1:11" x14ac:dyDescent="0.2">
      <c r="A4835" t="s">
        <v>56</v>
      </c>
      <c r="B4835" t="s">
        <v>2149</v>
      </c>
      <c r="C4835" t="s">
        <v>14925</v>
      </c>
      <c r="D4835" t="s">
        <v>14926</v>
      </c>
      <c r="E4835" t="s">
        <v>91</v>
      </c>
      <c r="F4835" t="s">
        <v>11</v>
      </c>
      <c r="G4835" t="s">
        <v>12</v>
      </c>
      <c r="H4835">
        <f>24307*(1.01^10)</f>
        <v>26850.050002370153</v>
      </c>
      <c r="I4835">
        <f>97551*(1.01^10)</f>
        <v>107756.99295598843</v>
      </c>
      <c r="J4835" t="s">
        <v>14927</v>
      </c>
      <c r="K4835">
        <f t="shared" si="75"/>
        <v>785.91074857645538</v>
      </c>
    </row>
    <row r="4836" spans="1:11" x14ac:dyDescent="0.2">
      <c r="A4836" t="s">
        <v>56</v>
      </c>
      <c r="B4836" t="s">
        <v>2149</v>
      </c>
      <c r="C4836" t="s">
        <v>14928</v>
      </c>
      <c r="D4836" t="s">
        <v>14929</v>
      </c>
      <c r="E4836" t="s">
        <v>1589</v>
      </c>
      <c r="F4836" t="s">
        <v>152</v>
      </c>
      <c r="G4836" t="s">
        <v>24</v>
      </c>
      <c r="H4836">
        <f>20596*(1.01^10)</f>
        <v>22750.797294969172</v>
      </c>
      <c r="I4836">
        <f>82699*(1.01^10)</f>
        <v>91351.14514938122</v>
      </c>
      <c r="J4836" t="s">
        <v>14930</v>
      </c>
      <c r="K4836">
        <f t="shared" si="75"/>
        <v>379.78557079782308</v>
      </c>
    </row>
    <row r="4837" spans="1:11" x14ac:dyDescent="0.2">
      <c r="A4837" t="s">
        <v>56</v>
      </c>
      <c r="B4837" t="s">
        <v>2149</v>
      </c>
      <c r="C4837" t="s">
        <v>14931</v>
      </c>
      <c r="D4837" t="s">
        <v>14932</v>
      </c>
      <c r="E4837" t="s">
        <v>91</v>
      </c>
      <c r="F4837" t="s">
        <v>6</v>
      </c>
      <c r="G4837" t="s">
        <v>24</v>
      </c>
      <c r="H4837">
        <f>16319*(1.01^10)</f>
        <v>18026.328464585451</v>
      </c>
      <c r="I4837">
        <f>66657*(1.01^10)</f>
        <v>73630.79701353467</v>
      </c>
      <c r="J4837" t="s">
        <v>14933</v>
      </c>
      <c r="K4837">
        <f t="shared" si="75"/>
        <v>636.38384593874639</v>
      </c>
    </row>
    <row r="4838" spans="1:11" x14ac:dyDescent="0.2">
      <c r="A4838" t="s">
        <v>56</v>
      </c>
      <c r="B4838" t="s">
        <v>2149</v>
      </c>
      <c r="C4838" t="s">
        <v>14934</v>
      </c>
      <c r="D4838" t="s">
        <v>14935</v>
      </c>
      <c r="E4838" t="s">
        <v>726</v>
      </c>
      <c r="F4838" t="s">
        <v>24</v>
      </c>
      <c r="G4838" t="s">
        <v>12</v>
      </c>
      <c r="H4838">
        <f>20394*(1.01^10)</f>
        <v>22527.663625636109</v>
      </c>
      <c r="I4838">
        <f>88965*(1.01^10)</f>
        <v>98272.707387207833</v>
      </c>
      <c r="J4838" t="s">
        <v>14936</v>
      </c>
      <c r="K4838">
        <f t="shared" si="75"/>
        <v>1019.83256906872</v>
      </c>
    </row>
    <row r="4839" spans="1:11" x14ac:dyDescent="0.2">
      <c r="A4839" t="s">
        <v>56</v>
      </c>
      <c r="B4839" t="s">
        <v>2149</v>
      </c>
      <c r="C4839" t="s">
        <v>14937</v>
      </c>
      <c r="D4839" t="s">
        <v>14938</v>
      </c>
      <c r="E4839" t="s">
        <v>1340</v>
      </c>
      <c r="F4839" t="s">
        <v>24</v>
      </c>
      <c r="G4839" t="s">
        <v>24</v>
      </c>
      <c r="H4839">
        <f>18977*(1.01^10)</f>
        <v>20962.414073928434</v>
      </c>
      <c r="I4839">
        <f>75974*(1.01^10)</f>
        <v>83922.561355990867</v>
      </c>
      <c r="J4839" t="s">
        <v>14939</v>
      </c>
      <c r="K4839">
        <f t="shared" si="75"/>
        <v>698.25176680149843</v>
      </c>
    </row>
    <row r="4840" spans="1:11" x14ac:dyDescent="0.2">
      <c r="A4840" t="s">
        <v>56</v>
      </c>
      <c r="B4840" t="s">
        <v>2149</v>
      </c>
      <c r="C4840" t="s">
        <v>14940</v>
      </c>
      <c r="D4840" t="s">
        <v>14941</v>
      </c>
      <c r="E4840" t="s">
        <v>520</v>
      </c>
      <c r="F4840" t="s">
        <v>24</v>
      </c>
      <c r="G4840" t="s">
        <v>12</v>
      </c>
      <c r="H4840">
        <f>19874*(1.01^10)</f>
        <v>21953.260120422285</v>
      </c>
      <c r="I4840">
        <f>78908*(1.01^10)</f>
        <v>87163.522671947343</v>
      </c>
      <c r="J4840" t="s">
        <v>14942</v>
      </c>
      <c r="K4840">
        <f t="shared" si="75"/>
        <v>550.00071893798884</v>
      </c>
    </row>
    <row r="4841" spans="1:11" x14ac:dyDescent="0.2">
      <c r="A4841" t="s">
        <v>56</v>
      </c>
      <c r="B4841" t="s">
        <v>2149</v>
      </c>
      <c r="C4841" t="s">
        <v>14943</v>
      </c>
      <c r="D4841" t="s">
        <v>14944</v>
      </c>
      <c r="E4841" t="s">
        <v>612</v>
      </c>
      <c r="F4841" t="s">
        <v>24</v>
      </c>
      <c r="G4841" t="s">
        <v>24</v>
      </c>
      <c r="H4841">
        <f>18505*(1.01^10)</f>
        <v>20441.032430734344</v>
      </c>
      <c r="I4841">
        <f>73212*(1.01^10)</f>
        <v>80871.595045605121</v>
      </c>
      <c r="J4841" t="s">
        <v>14945</v>
      </c>
      <c r="K4841">
        <f t="shared" si="75"/>
        <v>566.64284099493932</v>
      </c>
    </row>
    <row r="4842" spans="1:11" x14ac:dyDescent="0.2">
      <c r="A4842" t="s">
        <v>56</v>
      </c>
      <c r="B4842" t="s">
        <v>2149</v>
      </c>
      <c r="C4842" t="s">
        <v>14946</v>
      </c>
      <c r="D4842" t="s">
        <v>14947</v>
      </c>
      <c r="E4842" t="s">
        <v>368</v>
      </c>
      <c r="F4842" t="s">
        <v>108</v>
      </c>
      <c r="G4842" t="s">
        <v>24</v>
      </c>
      <c r="H4842">
        <f>14090*(1.01^10)</f>
        <v>15564.125747043874</v>
      </c>
      <c r="I4842">
        <f>56443*(1.01^10)</f>
        <v>62348.186624584632</v>
      </c>
      <c r="J4842" t="s">
        <v>14948</v>
      </c>
      <c r="K4842">
        <f t="shared" si="75"/>
        <v>402.48705784550873</v>
      </c>
    </row>
    <row r="4843" spans="1:11" x14ac:dyDescent="0.2">
      <c r="A4843" t="s">
        <v>56</v>
      </c>
      <c r="B4843" t="s">
        <v>2149</v>
      </c>
      <c r="C4843" t="s">
        <v>14949</v>
      </c>
      <c r="D4843" t="s">
        <v>14950</v>
      </c>
      <c r="E4843" t="s">
        <v>1506</v>
      </c>
      <c r="F4843" t="s">
        <v>5</v>
      </c>
      <c r="G4843" t="s">
        <v>12</v>
      </c>
      <c r="H4843">
        <f>13719*(1.01^10)</f>
        <v>15154.310938516317</v>
      </c>
      <c r="I4843">
        <f>50018*(1.01^10)</f>
        <v>55250.989468817635</v>
      </c>
      <c r="J4843" t="s">
        <v>14951</v>
      </c>
      <c r="K4843">
        <f t="shared" si="75"/>
        <v>335.07508892580796</v>
      </c>
    </row>
    <row r="4844" spans="1:11" x14ac:dyDescent="0.2">
      <c r="A4844" t="s">
        <v>56</v>
      </c>
      <c r="B4844" t="s">
        <v>2149</v>
      </c>
      <c r="C4844" t="s">
        <v>14952</v>
      </c>
      <c r="D4844" t="s">
        <v>14953</v>
      </c>
      <c r="E4844" t="s">
        <v>674</v>
      </c>
      <c r="F4844" t="s">
        <v>24</v>
      </c>
      <c r="G4844" t="s">
        <v>12</v>
      </c>
      <c r="H4844">
        <f>19252*(1.01^10)</f>
        <v>21266.185158416512</v>
      </c>
      <c r="I4844">
        <f>74972*(1.01^10)</f>
        <v>82815.729986328835</v>
      </c>
      <c r="J4844" t="s">
        <v>14954</v>
      </c>
      <c r="K4844">
        <f t="shared" si="75"/>
        <v>813.46191675207388</v>
      </c>
    </row>
    <row r="4845" spans="1:11" x14ac:dyDescent="0.2">
      <c r="A4845" t="s">
        <v>56</v>
      </c>
      <c r="B4845" t="s">
        <v>2149</v>
      </c>
      <c r="C4845" t="s">
        <v>14955</v>
      </c>
      <c r="D4845" t="s">
        <v>14956</v>
      </c>
      <c r="E4845" t="s">
        <v>103</v>
      </c>
      <c r="F4845" t="s">
        <v>92</v>
      </c>
      <c r="G4845" t="s">
        <v>24</v>
      </c>
      <c r="H4845">
        <f>10410*(1.01^10)</f>
        <v>11499.116325530642</v>
      </c>
      <c r="I4845">
        <f>41133*(1.01^10)</f>
        <v>45436.421884539086</v>
      </c>
      <c r="J4845" t="s">
        <v>14957</v>
      </c>
      <c r="K4845">
        <f t="shared" si="75"/>
        <v>378.88334450257963</v>
      </c>
    </row>
    <row r="4846" spans="1:11" x14ac:dyDescent="0.2">
      <c r="A4846" t="s">
        <v>56</v>
      </c>
      <c r="B4846" t="s">
        <v>2149</v>
      </c>
      <c r="C4846" t="s">
        <v>14958</v>
      </c>
      <c r="D4846" t="s">
        <v>14959</v>
      </c>
      <c r="E4846" t="s">
        <v>91</v>
      </c>
      <c r="F4846" t="s">
        <v>24</v>
      </c>
      <c r="G4846" t="s">
        <v>24</v>
      </c>
      <c r="H4846">
        <f>17237*(1.01^10)</f>
        <v>19040.371575712936</v>
      </c>
      <c r="I4846">
        <f>70493*(1.01^10)</f>
        <v>77868.127486612051</v>
      </c>
      <c r="J4846" t="s">
        <v>14960</v>
      </c>
      <c r="K4846">
        <f t="shared" si="75"/>
        <v>516.89451494541072</v>
      </c>
    </row>
    <row r="4847" spans="1:11" x14ac:dyDescent="0.2">
      <c r="A4847" t="s">
        <v>56</v>
      </c>
      <c r="B4847" t="s">
        <v>2149</v>
      </c>
      <c r="C4847" t="s">
        <v>14961</v>
      </c>
      <c r="D4847" t="s">
        <v>14962</v>
      </c>
      <c r="E4847" t="s">
        <v>829</v>
      </c>
      <c r="F4847" t="s">
        <v>152</v>
      </c>
      <c r="G4847" t="s">
        <v>24</v>
      </c>
      <c r="H4847">
        <f>7537*(1.01^10)</f>
        <v>8325.5369592242496</v>
      </c>
      <c r="I4847">
        <f>29107*(1.01^10)</f>
        <v>32152.236204343935</v>
      </c>
      <c r="J4847" t="s">
        <v>14963</v>
      </c>
      <c r="K4847">
        <f t="shared" si="75"/>
        <v>472.36450322034392</v>
      </c>
    </row>
    <row r="4848" spans="1:11" x14ac:dyDescent="0.2">
      <c r="A4848" t="s">
        <v>56</v>
      </c>
      <c r="B4848" t="s">
        <v>2149</v>
      </c>
      <c r="C4848" t="s">
        <v>14964</v>
      </c>
      <c r="D4848" t="s">
        <v>14965</v>
      </c>
      <c r="E4848" t="s">
        <v>185</v>
      </c>
      <c r="F4848" t="s">
        <v>17</v>
      </c>
      <c r="G4848" t="s">
        <v>24</v>
      </c>
      <c r="H4848">
        <f>13425*(1.01^10)</f>
        <v>14829.552033645423</v>
      </c>
      <c r="I4848">
        <f>52243*(1.01^10)</f>
        <v>57708.77369785757</v>
      </c>
      <c r="J4848" t="s">
        <v>14966</v>
      </c>
      <c r="K4848">
        <f t="shared" si="75"/>
        <v>294.03653460654266</v>
      </c>
    </row>
    <row r="4849" spans="1:11" x14ac:dyDescent="0.2">
      <c r="A4849" t="s">
        <v>56</v>
      </c>
      <c r="B4849" t="s">
        <v>2149</v>
      </c>
      <c r="C4849" t="s">
        <v>14967</v>
      </c>
      <c r="D4849" t="s">
        <v>14968</v>
      </c>
      <c r="E4849" t="s">
        <v>2795</v>
      </c>
      <c r="F4849" t="s">
        <v>5</v>
      </c>
      <c r="G4849" t="s">
        <v>12</v>
      </c>
      <c r="H4849">
        <f>18762*(1.01^10)</f>
        <v>20724.920316965025</v>
      </c>
      <c r="I4849">
        <f>73993*(1.01^10)</f>
        <v>81734.304925551274</v>
      </c>
      <c r="J4849" t="s">
        <v>14969</v>
      </c>
      <c r="K4849">
        <f t="shared" si="75"/>
        <v>606.12824234706022</v>
      </c>
    </row>
    <row r="4850" spans="1:11" x14ac:dyDescent="0.2">
      <c r="A4850" t="s">
        <v>56</v>
      </c>
      <c r="B4850" t="s">
        <v>2149</v>
      </c>
      <c r="C4850" t="s">
        <v>14970</v>
      </c>
      <c r="D4850" t="s">
        <v>14971</v>
      </c>
      <c r="E4850" t="s">
        <v>16</v>
      </c>
      <c r="F4850" t="s">
        <v>24</v>
      </c>
      <c r="G4850" t="s">
        <v>24</v>
      </c>
      <c r="H4850">
        <f>17400*(1.01^10)</f>
        <v>19220.424982154964</v>
      </c>
      <c r="I4850">
        <f>70561*(1.01^10)</f>
        <v>77943.241791140012</v>
      </c>
      <c r="J4850" t="s">
        <v>14972</v>
      </c>
      <c r="K4850">
        <f t="shared" si="75"/>
        <v>376.80080815738683</v>
      </c>
    </row>
    <row r="4851" spans="1:11" x14ac:dyDescent="0.2">
      <c r="A4851" t="s">
        <v>56</v>
      </c>
      <c r="B4851" t="s">
        <v>2149</v>
      </c>
      <c r="C4851" t="s">
        <v>14973</v>
      </c>
      <c r="D4851" t="s">
        <v>14974</v>
      </c>
      <c r="E4851" t="s">
        <v>131</v>
      </c>
      <c r="F4851" t="s">
        <v>24</v>
      </c>
      <c r="G4851" t="s">
        <v>24</v>
      </c>
      <c r="H4851">
        <f>19240*(1.01^10)</f>
        <v>21252.929692911581</v>
      </c>
      <c r="I4851">
        <f>74718*(1.01^10)</f>
        <v>82535.155966474398</v>
      </c>
      <c r="J4851" t="s">
        <v>14975</v>
      </c>
      <c r="K4851">
        <f t="shared" si="75"/>
        <v>570.92863545930186</v>
      </c>
    </row>
    <row r="4852" spans="1:11" x14ac:dyDescent="0.2">
      <c r="A4852" t="s">
        <v>56</v>
      </c>
      <c r="B4852" t="s">
        <v>2149</v>
      </c>
      <c r="C4852" t="s">
        <v>14976</v>
      </c>
      <c r="D4852" t="s">
        <v>14977</v>
      </c>
      <c r="E4852" t="s">
        <v>619</v>
      </c>
      <c r="F4852" t="s">
        <v>12</v>
      </c>
      <c r="G4852" t="s">
        <v>24</v>
      </c>
      <c r="H4852">
        <f>15719*(1.01^10)</f>
        <v>17363.555189338727</v>
      </c>
      <c r="I4852">
        <f>59599*(1.01^10)</f>
        <v>65834.374052382394</v>
      </c>
      <c r="J4852" t="s">
        <v>14978</v>
      </c>
      <c r="K4852">
        <f t="shared" si="75"/>
        <v>443.40591481032305</v>
      </c>
    </row>
    <row r="4853" spans="1:11" x14ac:dyDescent="0.2">
      <c r="A4853" t="s">
        <v>56</v>
      </c>
      <c r="B4853" t="s">
        <v>2149</v>
      </c>
      <c r="C4853" t="s">
        <v>14979</v>
      </c>
      <c r="D4853" t="s">
        <v>14980</v>
      </c>
      <c r="E4853" t="s">
        <v>829</v>
      </c>
      <c r="F4853" t="s">
        <v>6</v>
      </c>
      <c r="G4853" t="s">
        <v>24</v>
      </c>
      <c r="H4853">
        <f>8845*(1.01^10)</f>
        <v>9770.3826992621052</v>
      </c>
      <c r="I4853">
        <f>33254*(1.01^10)</f>
        <v>36733.104158424205</v>
      </c>
      <c r="J4853" t="s">
        <v>14981</v>
      </c>
      <c r="K4853">
        <f t="shared" si="75"/>
        <v>499.55208693281304</v>
      </c>
    </row>
    <row r="4854" spans="1:11" x14ac:dyDescent="0.2">
      <c r="A4854" t="s">
        <v>56</v>
      </c>
      <c r="B4854" t="s">
        <v>2149</v>
      </c>
      <c r="C4854" t="s">
        <v>14982</v>
      </c>
      <c r="D4854" t="s">
        <v>14983</v>
      </c>
      <c r="E4854" t="s">
        <v>837</v>
      </c>
      <c r="F4854" t="s">
        <v>158</v>
      </c>
      <c r="G4854" t="s">
        <v>24</v>
      </c>
      <c r="H4854">
        <f>11123*(1.01^10)</f>
        <v>12286.711900948831</v>
      </c>
      <c r="I4854">
        <f>42308*(1.01^10)</f>
        <v>46734.352881897248</v>
      </c>
      <c r="J4854" t="s">
        <v>14984</v>
      </c>
      <c r="K4854">
        <f t="shared" si="75"/>
        <v>389.17203817702114</v>
      </c>
    </row>
    <row r="4855" spans="1:11" x14ac:dyDescent="0.2">
      <c r="A4855" t="s">
        <v>56</v>
      </c>
      <c r="B4855" t="s">
        <v>2149</v>
      </c>
      <c r="C4855" t="s">
        <v>14985</v>
      </c>
      <c r="D4855" t="s">
        <v>14986</v>
      </c>
      <c r="E4855" t="s">
        <v>180</v>
      </c>
      <c r="F4855" t="s">
        <v>12</v>
      </c>
      <c r="G4855" t="s">
        <v>24</v>
      </c>
      <c r="H4855">
        <f>16863*(1.01^10)</f>
        <v>18627.242900809146</v>
      </c>
      <c r="I4855">
        <f>65419*(1.01^10)</f>
        <v>72263.274822275605</v>
      </c>
      <c r="J4855" t="s">
        <v>14987</v>
      </c>
      <c r="K4855">
        <f t="shared" si="75"/>
        <v>535.44305719228521</v>
      </c>
    </row>
    <row r="4856" spans="1:11" x14ac:dyDescent="0.2">
      <c r="A4856" t="s">
        <v>56</v>
      </c>
      <c r="B4856" t="s">
        <v>2149</v>
      </c>
      <c r="C4856" t="s">
        <v>14988</v>
      </c>
      <c r="D4856" t="s">
        <v>14989</v>
      </c>
      <c r="E4856" t="s">
        <v>427</v>
      </c>
      <c r="F4856" t="s">
        <v>24</v>
      </c>
      <c r="G4856" t="s">
        <v>12</v>
      </c>
      <c r="H4856">
        <f>23493*(1.01^10)</f>
        <v>25950.887592285431</v>
      </c>
      <c r="I4856">
        <f>94039*(1.01^10)</f>
        <v>103877.56005154428</v>
      </c>
      <c r="J4856" t="s">
        <v>14990</v>
      </c>
      <c r="K4856">
        <f t="shared" si="75"/>
        <v>819.63869621190781</v>
      </c>
    </row>
    <row r="4857" spans="1:11" x14ac:dyDescent="0.2">
      <c r="A4857" t="s">
        <v>56</v>
      </c>
      <c r="B4857" t="s">
        <v>2149</v>
      </c>
      <c r="C4857" t="s">
        <v>14991</v>
      </c>
      <c r="D4857" t="s">
        <v>14992</v>
      </c>
      <c r="E4857" t="s">
        <v>176</v>
      </c>
      <c r="F4857" t="s">
        <v>12</v>
      </c>
      <c r="G4857" t="s">
        <v>24</v>
      </c>
      <c r="H4857">
        <f>14811*(1.01^10)</f>
        <v>16360.558299465354</v>
      </c>
      <c r="I4857">
        <f>57543*(1.01^10)</f>
        <v>63563.270962536953</v>
      </c>
      <c r="J4857" t="s">
        <v>14993</v>
      </c>
      <c r="K4857">
        <f t="shared" si="75"/>
        <v>439.88044635830255</v>
      </c>
    </row>
    <row r="4858" spans="1:11" x14ac:dyDescent="0.2">
      <c r="A4858" t="s">
        <v>56</v>
      </c>
      <c r="B4858" t="s">
        <v>2149</v>
      </c>
      <c r="C4858" t="s">
        <v>14994</v>
      </c>
      <c r="D4858" t="s">
        <v>14995</v>
      </c>
      <c r="E4858" t="s">
        <v>72</v>
      </c>
      <c r="F4858" t="s">
        <v>17</v>
      </c>
      <c r="G4858" t="s">
        <v>12</v>
      </c>
      <c r="H4858">
        <f>22564*(1.01^10)</f>
        <v>24924.693637778422</v>
      </c>
      <c r="I4858">
        <f>84093*(1.01^10)</f>
        <v>92890.988392204439</v>
      </c>
      <c r="J4858" t="s">
        <v>14996</v>
      </c>
      <c r="K4858">
        <f t="shared" si="75"/>
        <v>808.02330381703689</v>
      </c>
    </row>
    <row r="4859" spans="1:11" x14ac:dyDescent="0.2">
      <c r="A4859" t="s">
        <v>56</v>
      </c>
      <c r="B4859" t="s">
        <v>2149</v>
      </c>
      <c r="C4859" t="s">
        <v>14997</v>
      </c>
      <c r="D4859" t="s">
        <v>14998</v>
      </c>
      <c r="E4859" t="s">
        <v>131</v>
      </c>
      <c r="F4859" t="s">
        <v>17</v>
      </c>
      <c r="G4859" t="s">
        <v>12</v>
      </c>
      <c r="H4859">
        <f>19922*(1.01^10)</f>
        <v>22006.281982442022</v>
      </c>
      <c r="I4859">
        <f>77321*(1.01^10)</f>
        <v>85410.487358919767</v>
      </c>
      <c r="J4859" t="s">
        <v>14999</v>
      </c>
      <c r="K4859">
        <f t="shared" si="75"/>
        <v>700.37518099212866</v>
      </c>
    </row>
    <row r="4860" spans="1:11" x14ac:dyDescent="0.2">
      <c r="A4860" t="s">
        <v>56</v>
      </c>
      <c r="B4860" t="s">
        <v>2149</v>
      </c>
      <c r="C4860" t="s">
        <v>15000</v>
      </c>
      <c r="D4860" t="s">
        <v>15001</v>
      </c>
      <c r="E4860" t="s">
        <v>176</v>
      </c>
      <c r="F4860" t="s">
        <v>24</v>
      </c>
      <c r="G4860" t="s">
        <v>24</v>
      </c>
      <c r="H4860">
        <f>17064*(1.01^10)</f>
        <v>18849.271948016798</v>
      </c>
      <c r="I4860">
        <f>65622*(1.01^10)</f>
        <v>72487.51311373408</v>
      </c>
      <c r="J4860" t="s">
        <v>15002</v>
      </c>
      <c r="K4860">
        <f t="shared" si="75"/>
        <v>468.12783893084315</v>
      </c>
    </row>
    <row r="4861" spans="1:11" x14ac:dyDescent="0.2">
      <c r="A4861" t="s">
        <v>56</v>
      </c>
      <c r="B4861" t="s">
        <v>2149</v>
      </c>
      <c r="C4861" t="s">
        <v>15003</v>
      </c>
      <c r="D4861" t="s">
        <v>15004</v>
      </c>
      <c r="E4861" t="s">
        <v>726</v>
      </c>
      <c r="F4861" t="s">
        <v>12</v>
      </c>
      <c r="G4861" t="s">
        <v>24</v>
      </c>
      <c r="H4861">
        <f>20126*(1.01^10)</f>
        <v>22231.624896025907</v>
      </c>
      <c r="I4861">
        <f>79617*(1.01^10)</f>
        <v>87946.699758863891</v>
      </c>
      <c r="J4861" t="s">
        <v>15005</v>
      </c>
      <c r="K4861">
        <f t="shared" si="75"/>
        <v>557.33158572495643</v>
      </c>
    </row>
    <row r="4862" spans="1:11" x14ac:dyDescent="0.2">
      <c r="A4862" t="s">
        <v>56</v>
      </c>
      <c r="B4862" t="s">
        <v>2149</v>
      </c>
      <c r="C4862" t="s">
        <v>15006</v>
      </c>
      <c r="D4862" t="s">
        <v>15007</v>
      </c>
      <c r="E4862" t="s">
        <v>77</v>
      </c>
      <c r="F4862" t="s">
        <v>24</v>
      </c>
      <c r="G4862" t="s">
        <v>17</v>
      </c>
      <c r="H4862">
        <f>55095*(1.01^10)</f>
        <v>60859.155999530325</v>
      </c>
      <c r="I4862">
        <f>220332*(1.01^10)</f>
        <v>243383.60213610157</v>
      </c>
      <c r="J4862" t="s">
        <v>15008</v>
      </c>
      <c r="K4862">
        <f t="shared" si="75"/>
        <v>1784.1925012044783</v>
      </c>
    </row>
    <row r="4863" spans="1:11" x14ac:dyDescent="0.2">
      <c r="A4863" t="s">
        <v>56</v>
      </c>
      <c r="B4863" t="s">
        <v>2149</v>
      </c>
      <c r="C4863" t="s">
        <v>15009</v>
      </c>
      <c r="D4863" t="s">
        <v>15010</v>
      </c>
      <c r="E4863" t="s">
        <v>47</v>
      </c>
      <c r="F4863" t="s">
        <v>24</v>
      </c>
      <c r="G4863" t="s">
        <v>12</v>
      </c>
      <c r="H4863">
        <f>19242*(1.01^10)</f>
        <v>21255.138937162403</v>
      </c>
      <c r="I4863">
        <f>73890*(1.01^10)</f>
        <v>81620.528846633912</v>
      </c>
      <c r="J4863" t="s">
        <v>15011</v>
      </c>
      <c r="K4863">
        <f t="shared" si="75"/>
        <v>738.62073419974263</v>
      </c>
    </row>
    <row r="4864" spans="1:11" x14ac:dyDescent="0.2">
      <c r="A4864" t="s">
        <v>56</v>
      </c>
      <c r="B4864" t="s">
        <v>2149</v>
      </c>
      <c r="C4864" t="s">
        <v>15012</v>
      </c>
      <c r="D4864" t="s">
        <v>15013</v>
      </c>
      <c r="E4864" t="s">
        <v>185</v>
      </c>
      <c r="F4864" t="s">
        <v>12</v>
      </c>
      <c r="G4864" t="s">
        <v>24</v>
      </c>
      <c r="H4864">
        <f>16925*(1.01^10)</f>
        <v>18695.72947258464</v>
      </c>
      <c r="I4864">
        <f>68621*(1.01^10)</f>
        <v>75800.274867842279</v>
      </c>
      <c r="J4864" t="s">
        <v>15014</v>
      </c>
      <c r="K4864">
        <f t="shared" si="75"/>
        <v>461.57105358509693</v>
      </c>
    </row>
    <row r="4865" spans="1:11" x14ac:dyDescent="0.2">
      <c r="A4865" t="s">
        <v>56</v>
      </c>
      <c r="B4865" t="s">
        <v>2149</v>
      </c>
      <c r="C4865" t="s">
        <v>15015</v>
      </c>
      <c r="D4865" t="s">
        <v>15016</v>
      </c>
      <c r="E4865" t="s">
        <v>1580</v>
      </c>
      <c r="F4865" t="s">
        <v>12</v>
      </c>
      <c r="G4865" t="s">
        <v>24</v>
      </c>
      <c r="H4865">
        <f>21380*(1.01^10)</f>
        <v>23616.821041291558</v>
      </c>
      <c r="I4865">
        <f>85872*(1.01^10)</f>
        <v>94856.11115331098</v>
      </c>
      <c r="J4865" t="s">
        <v>15017</v>
      </c>
      <c r="K4865">
        <f t="shared" si="75"/>
        <v>479.56150984741851</v>
      </c>
    </row>
    <row r="4866" spans="1:11" x14ac:dyDescent="0.2">
      <c r="A4866" t="s">
        <v>56</v>
      </c>
      <c r="B4866" t="s">
        <v>2149</v>
      </c>
      <c r="C4866" t="s">
        <v>15018</v>
      </c>
      <c r="D4866" t="s">
        <v>15019</v>
      </c>
      <c r="E4866" t="s">
        <v>313</v>
      </c>
      <c r="F4866" t="s">
        <v>5</v>
      </c>
      <c r="G4866" t="s">
        <v>24</v>
      </c>
      <c r="H4866">
        <f>21805*(1.01^10)</f>
        <v>24086.285444591318</v>
      </c>
      <c r="I4866">
        <f>87847*(1.01^10)</f>
        <v>97037.739850998099</v>
      </c>
      <c r="J4866" t="s">
        <v>15020</v>
      </c>
      <c r="K4866">
        <f t="shared" si="75"/>
        <v>520.66545513608401</v>
      </c>
    </row>
    <row r="4867" spans="1:11" x14ac:dyDescent="0.2">
      <c r="A4867" t="s">
        <v>56</v>
      </c>
      <c r="B4867" t="s">
        <v>1011</v>
      </c>
      <c r="C4867" t="s">
        <v>15021</v>
      </c>
      <c r="D4867" t="s">
        <v>15022</v>
      </c>
      <c r="E4867" t="s">
        <v>287</v>
      </c>
      <c r="F4867" t="s">
        <v>6</v>
      </c>
      <c r="G4867" t="s">
        <v>24</v>
      </c>
      <c r="H4867">
        <f>13042*(1.01^10)</f>
        <v>14406.481759612932</v>
      </c>
      <c r="I4867">
        <f>51993*(1.01^10)</f>
        <v>57432.61816650477</v>
      </c>
      <c r="J4867" t="s">
        <v>15023</v>
      </c>
      <c r="K4867">
        <f t="shared" ref="K4867:K4930" si="76">I4867/J4867</f>
        <v>178.1586838119371</v>
      </c>
    </row>
    <row r="4868" spans="1:11" x14ac:dyDescent="0.2">
      <c r="A4868" t="s">
        <v>56</v>
      </c>
      <c r="B4868" t="s">
        <v>1011</v>
      </c>
      <c r="C4868" t="s">
        <v>15024</v>
      </c>
      <c r="D4868" t="s">
        <v>15025</v>
      </c>
      <c r="E4868" t="s">
        <v>4</v>
      </c>
      <c r="F4868" t="s">
        <v>158</v>
      </c>
      <c r="G4868" t="s">
        <v>24</v>
      </c>
      <c r="H4868">
        <f>10809*(1.01^10)</f>
        <v>11939.860553569712</v>
      </c>
      <c r="I4868">
        <f>49507*(1.01^10)</f>
        <v>54686.52756273251</v>
      </c>
      <c r="J4868" t="s">
        <v>15026</v>
      </c>
      <c r="K4868">
        <f t="shared" si="76"/>
        <v>152.08113233331997</v>
      </c>
    </row>
    <row r="4869" spans="1:11" x14ac:dyDescent="0.2">
      <c r="A4869" t="s">
        <v>56</v>
      </c>
      <c r="B4869" t="s">
        <v>1011</v>
      </c>
      <c r="C4869" t="s">
        <v>15027</v>
      </c>
      <c r="D4869" t="s">
        <v>15028</v>
      </c>
      <c r="E4869" t="s">
        <v>287</v>
      </c>
      <c r="F4869" t="s">
        <v>11</v>
      </c>
      <c r="G4869" t="s">
        <v>24</v>
      </c>
      <c r="H4869">
        <f>11332*(1.01^10)</f>
        <v>12517.577925159772</v>
      </c>
      <c r="I4869">
        <f>48402*(1.01^10)</f>
        <v>53465.92011415313</v>
      </c>
      <c r="J4869" t="s">
        <v>15029</v>
      </c>
      <c r="K4869">
        <f t="shared" si="76"/>
        <v>150.32936582902133</v>
      </c>
    </row>
    <row r="4870" spans="1:11" x14ac:dyDescent="0.2">
      <c r="A4870" t="s">
        <v>56</v>
      </c>
      <c r="B4870" t="s">
        <v>1011</v>
      </c>
      <c r="C4870" t="s">
        <v>15030</v>
      </c>
      <c r="D4870" t="s">
        <v>15031</v>
      </c>
      <c r="E4870" t="s">
        <v>3122</v>
      </c>
      <c r="F4870" t="s">
        <v>11</v>
      </c>
      <c r="G4870" t="s">
        <v>24</v>
      </c>
      <c r="H4870">
        <f>13245*(1.01^10)</f>
        <v>14630.720051071406</v>
      </c>
      <c r="I4870">
        <f>52360*(1.01^10)</f>
        <v>57838.014486530679</v>
      </c>
      <c r="J4870" t="s">
        <v>15032</v>
      </c>
      <c r="K4870">
        <f t="shared" si="76"/>
        <v>273.84535816654756</v>
      </c>
    </row>
    <row r="4871" spans="1:11" x14ac:dyDescent="0.2">
      <c r="A4871" t="s">
        <v>56</v>
      </c>
      <c r="B4871" t="s">
        <v>1011</v>
      </c>
      <c r="C4871" t="s">
        <v>15033</v>
      </c>
      <c r="D4871" t="s">
        <v>15034</v>
      </c>
      <c r="E4871" t="s">
        <v>103</v>
      </c>
      <c r="F4871" t="s">
        <v>17</v>
      </c>
      <c r="G4871" t="s">
        <v>24</v>
      </c>
      <c r="H4871">
        <f>12056*(1.01^10)</f>
        <v>13317.324343957485</v>
      </c>
      <c r="I4871">
        <f>46773*(1.01^10)</f>
        <v>51666.490671858279</v>
      </c>
      <c r="J4871" t="s">
        <v>15035</v>
      </c>
      <c r="K4871">
        <f t="shared" si="76"/>
        <v>389.99710882924245</v>
      </c>
    </row>
    <row r="4872" spans="1:11" x14ac:dyDescent="0.2">
      <c r="A4872" t="s">
        <v>56</v>
      </c>
      <c r="B4872" t="s">
        <v>1011</v>
      </c>
      <c r="C4872" t="s">
        <v>15036</v>
      </c>
      <c r="D4872" t="s">
        <v>15037</v>
      </c>
      <c r="E4872" t="s">
        <v>333</v>
      </c>
      <c r="F4872" t="s">
        <v>11</v>
      </c>
      <c r="G4872" t="s">
        <v>12</v>
      </c>
      <c r="H4872">
        <f>28449*(1.01^10)</f>
        <v>31425.394845823364</v>
      </c>
      <c r="I4872">
        <f>113638*(1.01^10)</f>
        <v>125527.04908747849</v>
      </c>
      <c r="J4872" t="s">
        <v>15038</v>
      </c>
      <c r="K4872">
        <f t="shared" si="76"/>
        <v>561.11197178832037</v>
      </c>
    </row>
    <row r="4873" spans="1:11" x14ac:dyDescent="0.2">
      <c r="A4873" t="s">
        <v>56</v>
      </c>
      <c r="B4873" t="s">
        <v>1011</v>
      </c>
      <c r="C4873" t="s">
        <v>15039</v>
      </c>
      <c r="D4873" t="s">
        <v>15040</v>
      </c>
      <c r="E4873" t="s">
        <v>23</v>
      </c>
      <c r="F4873" t="s">
        <v>92</v>
      </c>
      <c r="G4873" t="s">
        <v>24</v>
      </c>
      <c r="H4873">
        <f>12573*(1.01^10)</f>
        <v>13888.413982795077</v>
      </c>
      <c r="I4873">
        <f>50506*(1.01^10)</f>
        <v>55790.045066018305</v>
      </c>
      <c r="J4873" t="s">
        <v>15041</v>
      </c>
      <c r="K4873">
        <f t="shared" si="76"/>
        <v>327.54322433802486</v>
      </c>
    </row>
    <row r="4874" spans="1:11" x14ac:dyDescent="0.2">
      <c r="A4874" t="s">
        <v>56</v>
      </c>
      <c r="B4874" t="s">
        <v>1011</v>
      </c>
      <c r="C4874" t="s">
        <v>15042</v>
      </c>
      <c r="D4874" t="s">
        <v>15043</v>
      </c>
      <c r="E4874" t="s">
        <v>131</v>
      </c>
      <c r="F4874" t="s">
        <v>12</v>
      </c>
      <c r="G4874" t="s">
        <v>24</v>
      </c>
      <c r="H4874">
        <f>15126*(1.01^10)</f>
        <v>16708.514268969884</v>
      </c>
      <c r="I4874">
        <f>58182*(1.01^10)</f>
        <v>64269.124500674712</v>
      </c>
      <c r="J4874" t="s">
        <v>15044</v>
      </c>
      <c r="K4874">
        <f t="shared" si="76"/>
        <v>402.70464010437689</v>
      </c>
    </row>
    <row r="4875" spans="1:11" x14ac:dyDescent="0.2">
      <c r="A4875" t="s">
        <v>56</v>
      </c>
      <c r="B4875" t="s">
        <v>1011</v>
      </c>
      <c r="C4875" t="s">
        <v>15045</v>
      </c>
      <c r="D4875" t="s">
        <v>15046</v>
      </c>
      <c r="E4875" t="s">
        <v>374</v>
      </c>
      <c r="F4875" t="s">
        <v>11</v>
      </c>
      <c r="G4875" t="s">
        <v>24</v>
      </c>
      <c r="H4875">
        <f>15692*(1.01^10)</f>
        <v>17333.730391952624</v>
      </c>
      <c r="I4875">
        <f>59764*(1.01^10)</f>
        <v>66016.636703075244</v>
      </c>
      <c r="J4875" t="s">
        <v>15047</v>
      </c>
      <c r="K4875">
        <f t="shared" si="76"/>
        <v>423.62336109815817</v>
      </c>
    </row>
    <row r="4876" spans="1:11" x14ac:dyDescent="0.2">
      <c r="A4876" t="s">
        <v>56</v>
      </c>
      <c r="B4876" t="s">
        <v>1011</v>
      </c>
      <c r="C4876" t="s">
        <v>15048</v>
      </c>
      <c r="D4876" t="s">
        <v>15049</v>
      </c>
      <c r="E4876" t="s">
        <v>142</v>
      </c>
      <c r="F4876" t="s">
        <v>5</v>
      </c>
      <c r="G4876" t="s">
        <v>12</v>
      </c>
      <c r="H4876">
        <f>31566*(1.01^10)</f>
        <v>34868.502010730088</v>
      </c>
      <c r="I4876">
        <f>122964*(1.01^10)</f>
        <v>135828.75502906338</v>
      </c>
      <c r="J4876" t="s">
        <v>15050</v>
      </c>
      <c r="K4876">
        <f t="shared" si="76"/>
        <v>607.07272911737641</v>
      </c>
    </row>
    <row r="4877" spans="1:11" x14ac:dyDescent="0.2">
      <c r="A4877" t="s">
        <v>56</v>
      </c>
      <c r="B4877" t="s">
        <v>1011</v>
      </c>
      <c r="C4877" t="s">
        <v>15051</v>
      </c>
      <c r="D4877" t="s">
        <v>15052</v>
      </c>
      <c r="E4877" t="s">
        <v>1101</v>
      </c>
      <c r="F4877" t="s">
        <v>11</v>
      </c>
      <c r="G4877" t="s">
        <v>12</v>
      </c>
      <c r="H4877">
        <f>26203*(1.01^10)</f>
        <v>28944.413552149799</v>
      </c>
      <c r="I4877">
        <f>105389*(1.01^10)</f>
        <v>116415.02117496145</v>
      </c>
      <c r="J4877" t="s">
        <v>15053</v>
      </c>
      <c r="K4877">
        <f t="shared" si="76"/>
        <v>239.81592072948519</v>
      </c>
    </row>
    <row r="4878" spans="1:11" x14ac:dyDescent="0.2">
      <c r="A4878" t="s">
        <v>56</v>
      </c>
      <c r="B4878" t="s">
        <v>1011</v>
      </c>
      <c r="C4878" t="s">
        <v>15054</v>
      </c>
      <c r="D4878" t="s">
        <v>15055</v>
      </c>
      <c r="E4878" t="s">
        <v>91</v>
      </c>
      <c r="F4878" t="s">
        <v>11</v>
      </c>
      <c r="G4878" t="s">
        <v>24</v>
      </c>
      <c r="H4878">
        <f>11369*(1.01^10)</f>
        <v>12558.448943799987</v>
      </c>
      <c r="I4878">
        <f>48233*(1.01^10)</f>
        <v>53279.238974958636</v>
      </c>
      <c r="J4878" t="s">
        <v>15056</v>
      </c>
      <c r="K4878">
        <f t="shared" si="76"/>
        <v>157.66714305638504</v>
      </c>
    </row>
    <row r="4879" spans="1:11" x14ac:dyDescent="0.2">
      <c r="A4879" t="s">
        <v>56</v>
      </c>
      <c r="B4879" t="s">
        <v>1011</v>
      </c>
      <c r="C4879" t="s">
        <v>15057</v>
      </c>
      <c r="D4879" t="s">
        <v>15058</v>
      </c>
      <c r="E4879" t="s">
        <v>374</v>
      </c>
      <c r="F4879" t="s">
        <v>12</v>
      </c>
      <c r="G4879" t="s">
        <v>24</v>
      </c>
      <c r="H4879">
        <f>12772*(1.01^10)</f>
        <v>14108.233785751907</v>
      </c>
      <c r="I4879">
        <f>50464*(1.01^10)</f>
        <v>55743.650936751037</v>
      </c>
      <c r="J4879" t="s">
        <v>15059</v>
      </c>
      <c r="K4879">
        <f t="shared" si="76"/>
        <v>357.95177333967865</v>
      </c>
    </row>
    <row r="4880" spans="1:11" x14ac:dyDescent="0.2">
      <c r="A4880" t="s">
        <v>56</v>
      </c>
      <c r="B4880" t="s">
        <v>1011</v>
      </c>
      <c r="C4880" t="s">
        <v>15060</v>
      </c>
      <c r="D4880" t="s">
        <v>15061</v>
      </c>
      <c r="E4880" t="s">
        <v>313</v>
      </c>
      <c r="F4880" t="s">
        <v>17</v>
      </c>
      <c r="G4880" t="s">
        <v>24</v>
      </c>
      <c r="H4880">
        <f>12225*(1.01^10)</f>
        <v>13504.005483151977</v>
      </c>
      <c r="I4880">
        <f>49384*(1.01^10)</f>
        <v>54550.659041306935</v>
      </c>
      <c r="J4880" t="s">
        <v>15062</v>
      </c>
      <c r="K4880">
        <f t="shared" si="76"/>
        <v>433.58006196070147</v>
      </c>
    </row>
    <row r="4881" spans="1:11" x14ac:dyDescent="0.2">
      <c r="A4881" t="s">
        <v>56</v>
      </c>
      <c r="B4881" t="s">
        <v>1011</v>
      </c>
      <c r="C4881" t="s">
        <v>15063</v>
      </c>
      <c r="D4881" t="s">
        <v>15064</v>
      </c>
      <c r="E4881" t="s">
        <v>764</v>
      </c>
      <c r="F4881" t="s">
        <v>11</v>
      </c>
      <c r="G4881" t="s">
        <v>24</v>
      </c>
      <c r="H4881">
        <f>15123*(1.01^10)</f>
        <v>16705.200402593648</v>
      </c>
      <c r="I4881">
        <f>59688*(1.01^10)</f>
        <v>65932.685421543996</v>
      </c>
      <c r="J4881" t="s">
        <v>15065</v>
      </c>
      <c r="K4881">
        <f t="shared" si="76"/>
        <v>387.51045340961741</v>
      </c>
    </row>
    <row r="4882" spans="1:11" x14ac:dyDescent="0.2">
      <c r="A4882" t="s">
        <v>56</v>
      </c>
      <c r="B4882" t="s">
        <v>1011</v>
      </c>
      <c r="C4882" t="s">
        <v>15066</v>
      </c>
      <c r="D4882" t="s">
        <v>15067</v>
      </c>
      <c r="E4882" t="s">
        <v>16</v>
      </c>
      <c r="F4882" t="s">
        <v>17</v>
      </c>
      <c r="G4882" t="s">
        <v>24</v>
      </c>
      <c r="H4882">
        <f>13788*(1.01^10)</f>
        <v>15230.52986516969</v>
      </c>
      <c r="I4882">
        <f>57237*(1.01^10)</f>
        <v>63225.256592161124</v>
      </c>
      <c r="J4882" t="s">
        <v>15068</v>
      </c>
      <c r="K4882">
        <f t="shared" si="76"/>
        <v>338.29696705636661</v>
      </c>
    </row>
    <row r="4883" spans="1:11" x14ac:dyDescent="0.2">
      <c r="A4883" t="s">
        <v>56</v>
      </c>
      <c r="B4883" t="s">
        <v>1011</v>
      </c>
      <c r="C4883" t="s">
        <v>15069</v>
      </c>
      <c r="D4883" t="s">
        <v>15070</v>
      </c>
      <c r="E4883" t="s">
        <v>674</v>
      </c>
      <c r="F4883" t="s">
        <v>17</v>
      </c>
      <c r="G4883" t="s">
        <v>24</v>
      </c>
      <c r="H4883">
        <f>13391*(1.01^10)</f>
        <v>14791.994881381443</v>
      </c>
      <c r="I4883">
        <f>54499*(1.01^10)</f>
        <v>60200.801212785249</v>
      </c>
      <c r="J4883" t="s">
        <v>15071</v>
      </c>
      <c r="K4883">
        <f t="shared" si="76"/>
        <v>388.52266724599053</v>
      </c>
    </row>
    <row r="4884" spans="1:11" x14ac:dyDescent="0.2">
      <c r="A4884" t="s">
        <v>56</v>
      </c>
      <c r="B4884" t="s">
        <v>1011</v>
      </c>
      <c r="C4884" t="s">
        <v>15072</v>
      </c>
      <c r="D4884" t="s">
        <v>15073</v>
      </c>
      <c r="E4884" t="s">
        <v>47</v>
      </c>
      <c r="F4884" t="s">
        <v>24</v>
      </c>
      <c r="G4884" t="s">
        <v>24</v>
      </c>
      <c r="H4884">
        <f>11856*(1.01^10)</f>
        <v>13096.399918875244</v>
      </c>
      <c r="I4884">
        <f>46855*(1.01^10)</f>
        <v>51757.069686142</v>
      </c>
      <c r="J4884" t="s">
        <v>15074</v>
      </c>
      <c r="K4884">
        <f t="shared" si="76"/>
        <v>294.50062065934173</v>
      </c>
    </row>
    <row r="4885" spans="1:11" x14ac:dyDescent="0.2">
      <c r="A4885" t="s">
        <v>56</v>
      </c>
      <c r="B4885" t="s">
        <v>1011</v>
      </c>
      <c r="C4885" t="s">
        <v>15075</v>
      </c>
      <c r="D4885" t="s">
        <v>15076</v>
      </c>
      <c r="E4885" t="s">
        <v>103</v>
      </c>
      <c r="F4885" t="s">
        <v>17</v>
      </c>
      <c r="G4885" t="s">
        <v>12</v>
      </c>
      <c r="H4885">
        <f>14358*(1.01^10)</f>
        <v>15860.164476654078</v>
      </c>
      <c r="I4885">
        <f>57529*(1.01^10)</f>
        <v>63547.8062527812</v>
      </c>
      <c r="J4885" t="s">
        <v>15077</v>
      </c>
      <c r="K4885">
        <f t="shared" si="76"/>
        <v>474.93412311597564</v>
      </c>
    </row>
    <row r="4886" spans="1:11" x14ac:dyDescent="0.2">
      <c r="A4886" t="s">
        <v>56</v>
      </c>
      <c r="B4886" t="s">
        <v>1011</v>
      </c>
      <c r="C4886" t="s">
        <v>15078</v>
      </c>
      <c r="D4886" t="s">
        <v>15079</v>
      </c>
      <c r="E4886" t="s">
        <v>520</v>
      </c>
      <c r="F4886" t="s">
        <v>24</v>
      </c>
      <c r="G4886" t="s">
        <v>12</v>
      </c>
      <c r="H4886">
        <f>16838*(1.01^10)</f>
        <v>18599.627347673864</v>
      </c>
      <c r="I4886">
        <f>68289*(1.01^10)</f>
        <v>75433.540322205765</v>
      </c>
      <c r="J4886" t="s">
        <v>15080</v>
      </c>
      <c r="K4886">
        <f t="shared" si="76"/>
        <v>500.00131111612365</v>
      </c>
    </row>
    <row r="4887" spans="1:11" x14ac:dyDescent="0.2">
      <c r="A4887" t="s">
        <v>56</v>
      </c>
      <c r="B4887" t="s">
        <v>1011</v>
      </c>
      <c r="C4887" t="s">
        <v>15081</v>
      </c>
      <c r="D4887" t="s">
        <v>15082</v>
      </c>
      <c r="E4887" t="s">
        <v>220</v>
      </c>
      <c r="F4887" t="s">
        <v>17</v>
      </c>
      <c r="G4887" t="s">
        <v>12</v>
      </c>
      <c r="H4887">
        <f>15047*(1.01^10)</f>
        <v>16621.249121062399</v>
      </c>
      <c r="I4887">
        <f>63408*(1.01^10)</f>
        <v>70041.879728073676</v>
      </c>
      <c r="J4887" t="s">
        <v>15083</v>
      </c>
      <c r="K4887">
        <f t="shared" si="76"/>
        <v>483.68165493355031</v>
      </c>
    </row>
    <row r="4888" spans="1:11" x14ac:dyDescent="0.2">
      <c r="A4888" t="s">
        <v>56</v>
      </c>
      <c r="B4888" t="s">
        <v>1011</v>
      </c>
      <c r="C4888" t="s">
        <v>15084</v>
      </c>
      <c r="D4888" t="s">
        <v>15085</v>
      </c>
      <c r="E4888" t="s">
        <v>16</v>
      </c>
      <c r="F4888" t="s">
        <v>24</v>
      </c>
      <c r="G4888" t="s">
        <v>24</v>
      </c>
      <c r="H4888">
        <f>15571*(1.01^10)</f>
        <v>17200.071114777867</v>
      </c>
      <c r="I4888">
        <f>64695*(1.01^10)</f>
        <v>71463.528403477889</v>
      </c>
      <c r="J4888" t="s">
        <v>15086</v>
      </c>
      <c r="K4888">
        <f t="shared" si="76"/>
        <v>387.18949509256566</v>
      </c>
    </row>
    <row r="4889" spans="1:11" x14ac:dyDescent="0.2">
      <c r="A4889" t="s">
        <v>56</v>
      </c>
      <c r="B4889" t="s">
        <v>1011</v>
      </c>
      <c r="C4889" t="s">
        <v>15087</v>
      </c>
      <c r="D4889" t="s">
        <v>15088</v>
      </c>
      <c r="E4889" t="s">
        <v>374</v>
      </c>
      <c r="F4889" t="s">
        <v>17</v>
      </c>
      <c r="G4889" t="s">
        <v>24</v>
      </c>
      <c r="H4889">
        <f>13049*(1.01^10)</f>
        <v>14414.214114490811</v>
      </c>
      <c r="I4889">
        <f>51146*(1.01^10)</f>
        <v>56497.003226281478</v>
      </c>
      <c r="J4889" t="s">
        <v>15089</v>
      </c>
      <c r="K4889">
        <f t="shared" si="76"/>
        <v>354.1738365771443</v>
      </c>
    </row>
    <row r="4890" spans="1:11" x14ac:dyDescent="0.2">
      <c r="A4890" t="s">
        <v>56</v>
      </c>
      <c r="B4890" t="s">
        <v>1011</v>
      </c>
      <c r="C4890" t="s">
        <v>15090</v>
      </c>
      <c r="D4890" t="s">
        <v>15091</v>
      </c>
      <c r="E4890" t="s">
        <v>674</v>
      </c>
      <c r="F4890" t="s">
        <v>12</v>
      </c>
      <c r="G4890" t="s">
        <v>24</v>
      </c>
      <c r="H4890">
        <f>17255*(1.01^10)</f>
        <v>19060.254773970337</v>
      </c>
      <c r="I4890">
        <f>65579*(1.01^10)</f>
        <v>72440.01436234139</v>
      </c>
      <c r="J4890" t="s">
        <v>15092</v>
      </c>
      <c r="K4890">
        <f t="shared" si="76"/>
        <v>429.84230165538963</v>
      </c>
    </row>
    <row r="4891" spans="1:11" x14ac:dyDescent="0.2">
      <c r="A4891" t="s">
        <v>56</v>
      </c>
      <c r="B4891" t="s">
        <v>1011</v>
      </c>
      <c r="C4891" t="s">
        <v>15093</v>
      </c>
      <c r="D4891" t="s">
        <v>15094</v>
      </c>
      <c r="E4891" t="s">
        <v>16</v>
      </c>
      <c r="F4891" t="s">
        <v>12</v>
      </c>
      <c r="G4891" t="s">
        <v>24</v>
      </c>
      <c r="H4891">
        <f>19622*(1.01^10)</f>
        <v>21674.895344818658</v>
      </c>
      <c r="I4891">
        <f>75917*(1.01^10)</f>
        <v>83859.597894842431</v>
      </c>
      <c r="J4891" t="s">
        <v>15095</v>
      </c>
      <c r="K4891">
        <f t="shared" si="76"/>
        <v>601.83777271897281</v>
      </c>
    </row>
    <row r="4892" spans="1:11" x14ac:dyDescent="0.2">
      <c r="A4892" t="s">
        <v>56</v>
      </c>
      <c r="B4892" t="s">
        <v>1011</v>
      </c>
      <c r="C4892" t="s">
        <v>15096</v>
      </c>
      <c r="D4892" t="s">
        <v>15097</v>
      </c>
      <c r="E4892" t="s">
        <v>47</v>
      </c>
      <c r="F4892" t="s">
        <v>17</v>
      </c>
      <c r="G4892" t="s">
        <v>24</v>
      </c>
      <c r="H4892">
        <f>12720*(1.01^10)</f>
        <v>14050.793435230524</v>
      </c>
      <c r="I4892">
        <f>50580*(1.01^10)</f>
        <v>55871.787103298739</v>
      </c>
      <c r="J4892" t="s">
        <v>15098</v>
      </c>
      <c r="K4892">
        <f t="shared" si="76"/>
        <v>391.93931179635126</v>
      </c>
    </row>
    <row r="4893" spans="1:11" x14ac:dyDescent="0.2">
      <c r="A4893" t="s">
        <v>56</v>
      </c>
      <c r="B4893" t="s">
        <v>1011</v>
      </c>
      <c r="C4893" t="s">
        <v>15099</v>
      </c>
      <c r="D4893" t="s">
        <v>15100</v>
      </c>
      <c r="E4893" t="s">
        <v>103</v>
      </c>
      <c r="F4893" t="s">
        <v>24</v>
      </c>
      <c r="G4893" t="s">
        <v>24</v>
      </c>
      <c r="H4893">
        <f>13671*(1.01^10)</f>
        <v>15101.28907649658</v>
      </c>
      <c r="I4893">
        <f>53039*(1.01^10)</f>
        <v>58588.052909684891</v>
      </c>
      <c r="J4893" t="s">
        <v>15101</v>
      </c>
      <c r="K4893">
        <f t="shared" si="76"/>
        <v>484.39220053540464</v>
      </c>
    </row>
    <row r="4894" spans="1:11" x14ac:dyDescent="0.2">
      <c r="A4894" t="s">
        <v>56</v>
      </c>
      <c r="B4894" t="s">
        <v>1011</v>
      </c>
      <c r="C4894" t="s">
        <v>15102</v>
      </c>
      <c r="D4894" t="s">
        <v>15103</v>
      </c>
      <c r="E4894" t="s">
        <v>427</v>
      </c>
      <c r="F4894" t="s">
        <v>24</v>
      </c>
      <c r="G4894" t="s">
        <v>17</v>
      </c>
      <c r="H4894">
        <f>17472*(1.01^10)</f>
        <v>19299.957775184568</v>
      </c>
      <c r="I4894">
        <f>68579*(1.01^10)</f>
        <v>75753.880738575011</v>
      </c>
      <c r="J4894" t="s">
        <v>15104</v>
      </c>
      <c r="K4894">
        <f t="shared" si="76"/>
        <v>410.09698245949886</v>
      </c>
    </row>
    <row r="4895" spans="1:11" x14ac:dyDescent="0.2">
      <c r="A4895" t="s">
        <v>56</v>
      </c>
      <c r="B4895" t="s">
        <v>1011</v>
      </c>
      <c r="C4895" t="s">
        <v>15105</v>
      </c>
      <c r="D4895" t="s">
        <v>15106</v>
      </c>
      <c r="E4895" t="s">
        <v>313</v>
      </c>
      <c r="F4895" t="s">
        <v>12</v>
      </c>
      <c r="G4895" t="s">
        <v>24</v>
      </c>
      <c r="H4895">
        <f>14855*(1.01^10)</f>
        <v>16409.161672983446</v>
      </c>
      <c r="I4895">
        <f>58066*(1.01^10)</f>
        <v>64140.988334127018</v>
      </c>
      <c r="J4895" t="s">
        <v>15107</v>
      </c>
      <c r="K4895">
        <f t="shared" si="76"/>
        <v>372.86480525855433</v>
      </c>
    </row>
    <row r="4896" spans="1:11" x14ac:dyDescent="0.2">
      <c r="A4896" t="s">
        <v>56</v>
      </c>
      <c r="B4896" t="s">
        <v>1011</v>
      </c>
      <c r="C4896" t="s">
        <v>15108</v>
      </c>
      <c r="D4896" t="s">
        <v>15109</v>
      </c>
      <c r="E4896" t="s">
        <v>318</v>
      </c>
      <c r="F4896" t="s">
        <v>12</v>
      </c>
      <c r="G4896" t="s">
        <v>11</v>
      </c>
      <c r="H4896">
        <f>71570*(1.01^10)</f>
        <v>79057.805515679924</v>
      </c>
      <c r="I4896">
        <f>283550*(1.01^10)</f>
        <v>313215.60366034711</v>
      </c>
      <c r="J4896" t="s">
        <v>15110</v>
      </c>
      <c r="K4896">
        <f t="shared" si="76"/>
        <v>2231.6961885522855</v>
      </c>
    </row>
    <row r="4897" spans="1:11" x14ac:dyDescent="0.2">
      <c r="A4897" t="s">
        <v>56</v>
      </c>
      <c r="B4897" t="s">
        <v>1011</v>
      </c>
      <c r="C4897" t="s">
        <v>15111</v>
      </c>
      <c r="D4897" t="s">
        <v>15112</v>
      </c>
      <c r="E4897" t="s">
        <v>374</v>
      </c>
      <c r="F4897" t="s">
        <v>24</v>
      </c>
      <c r="G4897" t="s">
        <v>17</v>
      </c>
      <c r="H4897">
        <f>19037*(1.01^10)</f>
        <v>21028.691401453103</v>
      </c>
      <c r="I4897">
        <f>77031*(1.01^10)</f>
        <v>85090.146942550506</v>
      </c>
      <c r="J4897" t="s">
        <v>15113</v>
      </c>
      <c r="K4897">
        <f t="shared" si="76"/>
        <v>513.20190744313868</v>
      </c>
    </row>
    <row r="4898" spans="1:11" x14ac:dyDescent="0.2">
      <c r="A4898" t="s">
        <v>56</v>
      </c>
      <c r="B4898" t="s">
        <v>1011</v>
      </c>
      <c r="C4898" t="s">
        <v>15114</v>
      </c>
      <c r="D4898" t="s">
        <v>15115</v>
      </c>
      <c r="E4898" t="s">
        <v>72</v>
      </c>
      <c r="F4898" t="s">
        <v>12</v>
      </c>
      <c r="G4898" t="s">
        <v>24</v>
      </c>
      <c r="H4898">
        <f>17848*(1.01^10)</f>
        <v>19715.295694339184</v>
      </c>
      <c r="I4898">
        <f>71955*(1.01^10)</f>
        <v>79483.085033963231</v>
      </c>
      <c r="J4898" t="s">
        <v>15116</v>
      </c>
      <c r="K4898">
        <f t="shared" si="76"/>
        <v>530.08494605326723</v>
      </c>
    </row>
    <row r="4899" spans="1:11" x14ac:dyDescent="0.2">
      <c r="A4899" t="s">
        <v>56</v>
      </c>
      <c r="B4899" t="s">
        <v>1011</v>
      </c>
      <c r="C4899" t="s">
        <v>15117</v>
      </c>
      <c r="D4899" t="s">
        <v>15118</v>
      </c>
      <c r="E4899" t="s">
        <v>313</v>
      </c>
      <c r="F4899" t="s">
        <v>24</v>
      </c>
      <c r="G4899" t="s">
        <v>12</v>
      </c>
      <c r="H4899">
        <f>13975*(1.01^10)</f>
        <v>15437.094202621587</v>
      </c>
      <c r="I4899">
        <f>54382*(1.01^10)</f>
        <v>60071.56042411214</v>
      </c>
      <c r="J4899" t="s">
        <v>15119</v>
      </c>
      <c r="K4899">
        <f t="shared" si="76"/>
        <v>448.4809091514382</v>
      </c>
    </row>
    <row r="4900" spans="1:11" x14ac:dyDescent="0.2">
      <c r="A4900" t="s">
        <v>56</v>
      </c>
      <c r="B4900" t="s">
        <v>1011</v>
      </c>
      <c r="C4900" t="s">
        <v>15120</v>
      </c>
      <c r="D4900" t="s">
        <v>15121</v>
      </c>
      <c r="E4900" t="s">
        <v>356</v>
      </c>
      <c r="F4900" t="s">
        <v>17</v>
      </c>
      <c r="G4900" t="s">
        <v>24</v>
      </c>
      <c r="H4900">
        <f>13644*(1.01^10)</f>
        <v>15071.464279110478</v>
      </c>
      <c r="I4900">
        <f>54891*(1.01^10)</f>
        <v>60633.813085946436</v>
      </c>
      <c r="J4900" t="s">
        <v>15122</v>
      </c>
      <c r="K4900">
        <f t="shared" si="76"/>
        <v>432.69197992851127</v>
      </c>
    </row>
    <row r="4901" spans="1:11" x14ac:dyDescent="0.2">
      <c r="A4901" t="s">
        <v>56</v>
      </c>
      <c r="B4901" t="s">
        <v>5564</v>
      </c>
      <c r="C4901" t="s">
        <v>15123</v>
      </c>
      <c r="D4901" t="s">
        <v>15124</v>
      </c>
      <c r="E4901" t="s">
        <v>3308</v>
      </c>
      <c r="F4901" t="s">
        <v>796</v>
      </c>
      <c r="G4901" t="s">
        <v>24</v>
      </c>
      <c r="H4901">
        <f>11941*(1.01^10)</f>
        <v>13190.292799535197</v>
      </c>
      <c r="I4901">
        <f>47418*(1.01^10)</f>
        <v>52378.971942748503</v>
      </c>
      <c r="J4901" t="s">
        <v>15125</v>
      </c>
      <c r="K4901">
        <f t="shared" si="76"/>
        <v>106.96776519615105</v>
      </c>
    </row>
    <row r="4902" spans="1:11" x14ac:dyDescent="0.2">
      <c r="A4902" t="s">
        <v>56</v>
      </c>
      <c r="B4902" t="s">
        <v>5564</v>
      </c>
      <c r="C4902" t="s">
        <v>15126</v>
      </c>
      <c r="D4902" t="s">
        <v>15127</v>
      </c>
      <c r="E4902" t="s">
        <v>2653</v>
      </c>
      <c r="F4902" t="s">
        <v>11</v>
      </c>
      <c r="G4902" t="s">
        <v>24</v>
      </c>
      <c r="H4902">
        <f>12826*(1.01^10)</f>
        <v>14167.883380524112</v>
      </c>
      <c r="I4902">
        <f>51890*(1.01^10)</f>
        <v>57318.842087587414</v>
      </c>
      <c r="J4902" t="s">
        <v>15128</v>
      </c>
      <c r="K4902">
        <f t="shared" si="76"/>
        <v>113.85325841712921</v>
      </c>
    </row>
    <row r="4903" spans="1:11" x14ac:dyDescent="0.2">
      <c r="A4903" t="s">
        <v>56</v>
      </c>
      <c r="B4903" t="s">
        <v>5564</v>
      </c>
      <c r="C4903" t="s">
        <v>15129</v>
      </c>
      <c r="D4903" t="s">
        <v>15130</v>
      </c>
      <c r="E4903" t="s">
        <v>324</v>
      </c>
      <c r="F4903" t="s">
        <v>24</v>
      </c>
      <c r="G4903" t="s">
        <v>24</v>
      </c>
      <c r="H4903">
        <f>11624*(1.01^10)</f>
        <v>12840.127585779845</v>
      </c>
      <c r="I4903">
        <f>49029*(1.01^10)</f>
        <v>54158.518186785957</v>
      </c>
      <c r="J4903" t="s">
        <v>15131</v>
      </c>
      <c r="K4903">
        <f t="shared" si="76"/>
        <v>178.84953276763795</v>
      </c>
    </row>
    <row r="4904" spans="1:11" x14ac:dyDescent="0.2">
      <c r="A4904" t="s">
        <v>56</v>
      </c>
      <c r="B4904" t="s">
        <v>5564</v>
      </c>
      <c r="C4904" t="s">
        <v>15132</v>
      </c>
      <c r="D4904" t="s">
        <v>15133</v>
      </c>
      <c r="E4904" t="s">
        <v>151</v>
      </c>
      <c r="F4904" t="s">
        <v>158</v>
      </c>
      <c r="G4904" t="s">
        <v>12</v>
      </c>
      <c r="H4904">
        <f>12407*(1.01^10)</f>
        <v>13705.046709976818</v>
      </c>
      <c r="I4904">
        <f>56674*(1.01^10)</f>
        <v>62603.354335554621</v>
      </c>
      <c r="J4904" t="s">
        <v>15134</v>
      </c>
      <c r="K4904">
        <f t="shared" si="76"/>
        <v>237.08017818053733</v>
      </c>
    </row>
    <row r="4905" spans="1:11" x14ac:dyDescent="0.2">
      <c r="A4905" t="s">
        <v>56</v>
      </c>
      <c r="B4905" t="s">
        <v>5564</v>
      </c>
      <c r="C4905" t="s">
        <v>15135</v>
      </c>
      <c r="D4905" t="s">
        <v>15136</v>
      </c>
      <c r="E4905" t="s">
        <v>700</v>
      </c>
      <c r="F4905" t="s">
        <v>47</v>
      </c>
      <c r="G4905" t="s">
        <v>24</v>
      </c>
      <c r="H4905">
        <f>11687*(1.01^10)</f>
        <v>12909.71877968075</v>
      </c>
      <c r="I4905">
        <f>49019*(1.01^10)</f>
        <v>54147.471965531848</v>
      </c>
      <c r="J4905" t="s">
        <v>15137</v>
      </c>
      <c r="K4905">
        <f t="shared" si="76"/>
        <v>63.106116598915264</v>
      </c>
    </row>
    <row r="4906" spans="1:11" x14ac:dyDescent="0.2">
      <c r="A4906" t="s">
        <v>56</v>
      </c>
      <c r="B4906" t="s">
        <v>5564</v>
      </c>
      <c r="C4906" t="s">
        <v>15138</v>
      </c>
      <c r="D4906" t="s">
        <v>15139</v>
      </c>
      <c r="E4906" t="s">
        <v>3215</v>
      </c>
      <c r="F4906" t="s">
        <v>24</v>
      </c>
      <c r="G4906" t="s">
        <v>24</v>
      </c>
      <c r="H4906">
        <f>13024*(1.01^10)</f>
        <v>14386.598561355531</v>
      </c>
      <c r="I4906">
        <f>51697*(1.01^10)</f>
        <v>57105.65001738305</v>
      </c>
      <c r="J4906" t="s">
        <v>15140</v>
      </c>
      <c r="K4906">
        <f t="shared" si="76"/>
        <v>138.52280345218031</v>
      </c>
    </row>
    <row r="4907" spans="1:11" x14ac:dyDescent="0.2">
      <c r="A4907" t="s">
        <v>56</v>
      </c>
      <c r="B4907" t="s">
        <v>5564</v>
      </c>
      <c r="C4907" t="s">
        <v>15141</v>
      </c>
      <c r="D4907" t="s">
        <v>15142</v>
      </c>
      <c r="E4907" t="s">
        <v>814</v>
      </c>
      <c r="F4907" t="s">
        <v>318</v>
      </c>
      <c r="G4907" t="s">
        <v>12</v>
      </c>
      <c r="H4907">
        <f>14689*(1.01^10)</f>
        <v>16225.794400165187</v>
      </c>
      <c r="I4907">
        <f>58983*(1.01^10)</f>
        <v>65153.926823129092</v>
      </c>
      <c r="J4907" t="s">
        <v>15143</v>
      </c>
      <c r="K4907">
        <f t="shared" si="76"/>
        <v>198.89465908699327</v>
      </c>
    </row>
    <row r="4908" spans="1:11" x14ac:dyDescent="0.2">
      <c r="A4908" t="s">
        <v>56</v>
      </c>
      <c r="B4908" t="s">
        <v>5564</v>
      </c>
      <c r="C4908" t="s">
        <v>15144</v>
      </c>
      <c r="D4908" t="s">
        <v>15145</v>
      </c>
      <c r="E4908" t="s">
        <v>401</v>
      </c>
      <c r="F4908" t="s">
        <v>72</v>
      </c>
      <c r="G4908" t="s">
        <v>24</v>
      </c>
      <c r="H4908">
        <f>13119*(1.01^10)</f>
        <v>14491.537663269595</v>
      </c>
      <c r="I4908">
        <f>53884*(1.01^10)</f>
        <v>59521.458605657353</v>
      </c>
      <c r="J4908" t="s">
        <v>15146</v>
      </c>
      <c r="K4908">
        <f t="shared" si="76"/>
        <v>92.269582171914351</v>
      </c>
    </row>
    <row r="4909" spans="1:11" x14ac:dyDescent="0.2">
      <c r="A4909" t="s">
        <v>56</v>
      </c>
      <c r="B4909" t="s">
        <v>5564</v>
      </c>
      <c r="C4909" t="s">
        <v>15147</v>
      </c>
      <c r="D4909" t="s">
        <v>15148</v>
      </c>
      <c r="E4909" t="s">
        <v>591</v>
      </c>
      <c r="F4909" t="s">
        <v>5</v>
      </c>
      <c r="G4909" t="s">
        <v>12</v>
      </c>
      <c r="H4909">
        <f>17142*(1.01^10)</f>
        <v>18935.432473798872</v>
      </c>
      <c r="I4909">
        <f>71640*(1.01^10)</f>
        <v>79135.129064458713</v>
      </c>
      <c r="J4909" t="s">
        <v>15149</v>
      </c>
      <c r="K4909">
        <f t="shared" si="76"/>
        <v>113.42578024196938</v>
      </c>
    </row>
    <row r="4910" spans="1:11" x14ac:dyDescent="0.2">
      <c r="A4910" t="s">
        <v>56</v>
      </c>
      <c r="B4910" t="s">
        <v>5564</v>
      </c>
      <c r="C4910" t="s">
        <v>15150</v>
      </c>
      <c r="D4910" t="s">
        <v>15151</v>
      </c>
      <c r="E4910" t="s">
        <v>982</v>
      </c>
      <c r="F4910" t="s">
        <v>11</v>
      </c>
      <c r="G4910" t="s">
        <v>12</v>
      </c>
      <c r="H4910">
        <f>14944*(1.01^10)</f>
        <v>16507.473042145044</v>
      </c>
      <c r="I4910">
        <f>63174*(1.01^10)</f>
        <v>69783.398150727444</v>
      </c>
      <c r="J4910" t="s">
        <v>15152</v>
      </c>
      <c r="K4910">
        <f t="shared" si="76"/>
        <v>94.874144076175838</v>
      </c>
    </row>
    <row r="4911" spans="1:11" x14ac:dyDescent="0.2">
      <c r="A4911" t="s">
        <v>56</v>
      </c>
      <c r="B4911" t="s">
        <v>5564</v>
      </c>
      <c r="C4911" t="s">
        <v>15153</v>
      </c>
      <c r="D4911" t="s">
        <v>15154</v>
      </c>
      <c r="E4911" t="s">
        <v>1233</v>
      </c>
      <c r="F4911" t="s">
        <v>427</v>
      </c>
      <c r="G4911" t="s">
        <v>24</v>
      </c>
      <c r="H4911">
        <f>13570*(1.01^10)</f>
        <v>14989.722241830048</v>
      </c>
      <c r="I4911">
        <f>50639*(1.01^10)</f>
        <v>55936.959808697997</v>
      </c>
      <c r="J4911" t="s">
        <v>15155</v>
      </c>
      <c r="K4911">
        <f t="shared" si="76"/>
        <v>53.208700639928026</v>
      </c>
    </row>
    <row r="4912" spans="1:11" x14ac:dyDescent="0.2">
      <c r="A4912" t="s">
        <v>56</v>
      </c>
      <c r="B4912" t="s">
        <v>5564</v>
      </c>
      <c r="C4912" t="s">
        <v>15156</v>
      </c>
      <c r="D4912" t="s">
        <v>15157</v>
      </c>
      <c r="E4912" t="s">
        <v>1506</v>
      </c>
      <c r="F4912" t="s">
        <v>5</v>
      </c>
      <c r="G4912" t="s">
        <v>24</v>
      </c>
      <c r="H4912">
        <f>17571*(1.01^10)</f>
        <v>19409.31536560028</v>
      </c>
      <c r="I4912">
        <f>64607*(1.01^10)</f>
        <v>71366.321656441709</v>
      </c>
      <c r="J4912" t="s">
        <v>15158</v>
      </c>
      <c r="K4912">
        <f t="shared" si="76"/>
        <v>261.24607245257579</v>
      </c>
    </row>
    <row r="4913" spans="1:11" x14ac:dyDescent="0.2">
      <c r="A4913" t="s">
        <v>56</v>
      </c>
      <c r="B4913" t="s">
        <v>5564</v>
      </c>
      <c r="C4913" t="s">
        <v>15159</v>
      </c>
      <c r="D4913" t="s">
        <v>15160</v>
      </c>
      <c r="E4913" t="s">
        <v>520</v>
      </c>
      <c r="F4913" t="s">
        <v>17</v>
      </c>
      <c r="G4913" t="s">
        <v>24</v>
      </c>
      <c r="H4913">
        <f>14298*(1.01^10)</f>
        <v>15793.887149129405</v>
      </c>
      <c r="I4913">
        <f>52852*(1.01^10)</f>
        <v>58381.488572232993</v>
      </c>
      <c r="J4913" t="s">
        <v>15161</v>
      </c>
      <c r="K4913">
        <f t="shared" si="76"/>
        <v>251.13753784744856</v>
      </c>
    </row>
    <row r="4914" spans="1:11" x14ac:dyDescent="0.2">
      <c r="A4914" t="s">
        <v>56</v>
      </c>
      <c r="B4914" t="s">
        <v>5564</v>
      </c>
      <c r="C4914" t="s">
        <v>15162</v>
      </c>
      <c r="D4914" t="s">
        <v>15163</v>
      </c>
      <c r="E4914" t="s">
        <v>108</v>
      </c>
      <c r="F4914" t="s">
        <v>12</v>
      </c>
      <c r="G4914" t="s">
        <v>17</v>
      </c>
      <c r="H4914">
        <f>24729*(1.01^10)</f>
        <v>27316.200539293681</v>
      </c>
      <c r="I4914">
        <f>91612*(1.01^10)</f>
        <v>101196.64215317128</v>
      </c>
      <c r="J4914" t="s">
        <v>15164</v>
      </c>
      <c r="K4914">
        <f t="shared" si="76"/>
        <v>978.91388152903687</v>
      </c>
    </row>
    <row r="4915" spans="1:11" x14ac:dyDescent="0.2">
      <c r="A4915" t="s">
        <v>56</v>
      </c>
      <c r="B4915" t="s">
        <v>5564</v>
      </c>
      <c r="C4915" t="s">
        <v>15165</v>
      </c>
      <c r="D4915" t="s">
        <v>15166</v>
      </c>
      <c r="E4915" t="s">
        <v>56</v>
      </c>
      <c r="F4915" t="s">
        <v>17</v>
      </c>
      <c r="G4915" t="s">
        <v>24</v>
      </c>
      <c r="H4915">
        <f>13061*(1.01^10)</f>
        <v>14427.469579995744</v>
      </c>
      <c r="I4915">
        <f>48388*(1.01^10)</f>
        <v>53450.455404397377</v>
      </c>
      <c r="J4915" t="s">
        <v>15167</v>
      </c>
      <c r="K4915">
        <f t="shared" si="76"/>
        <v>435.44292182389773</v>
      </c>
    </row>
    <row r="4916" spans="1:11" x14ac:dyDescent="0.2">
      <c r="A4916" t="s">
        <v>56</v>
      </c>
      <c r="B4916" t="s">
        <v>5564</v>
      </c>
      <c r="C4916" t="s">
        <v>15168</v>
      </c>
      <c r="D4916" t="s">
        <v>15169</v>
      </c>
      <c r="E4916" t="s">
        <v>97</v>
      </c>
      <c r="F4916" t="s">
        <v>17</v>
      </c>
      <c r="G4916" t="s">
        <v>24</v>
      </c>
      <c r="H4916">
        <f>18389*(1.01^10)</f>
        <v>20312.896264186646</v>
      </c>
      <c r="I4916">
        <f>70761*(1.01^10)</f>
        <v>78164.166216222264</v>
      </c>
      <c r="J4916" t="s">
        <v>15170</v>
      </c>
      <c r="K4916">
        <f t="shared" si="76"/>
        <v>416.59234944601957</v>
      </c>
    </row>
    <row r="4917" spans="1:11" x14ac:dyDescent="0.2">
      <c r="A4917" t="s">
        <v>56</v>
      </c>
      <c r="B4917" t="s">
        <v>5564</v>
      </c>
      <c r="C4917" t="s">
        <v>15171</v>
      </c>
      <c r="D4917" t="s">
        <v>15172</v>
      </c>
      <c r="E4917" t="s">
        <v>23</v>
      </c>
      <c r="F4917" t="s">
        <v>5</v>
      </c>
      <c r="G4917" t="s">
        <v>24</v>
      </c>
      <c r="H4917">
        <f>19553*(1.01^10)</f>
        <v>21598.676418165287</v>
      </c>
      <c r="I4917">
        <f>72006*(1.01^10)</f>
        <v>79539.420762359208</v>
      </c>
      <c r="J4917" t="s">
        <v>15173</v>
      </c>
      <c r="K4917">
        <f t="shared" si="76"/>
        <v>376.99216747117794</v>
      </c>
    </row>
    <row r="4918" spans="1:11" x14ac:dyDescent="0.2">
      <c r="A4918" t="s">
        <v>56</v>
      </c>
      <c r="B4918" t="s">
        <v>5564</v>
      </c>
      <c r="C4918" t="s">
        <v>15174</v>
      </c>
      <c r="D4918" t="s">
        <v>15175</v>
      </c>
      <c r="E4918" t="s">
        <v>1656</v>
      </c>
      <c r="F4918" t="s">
        <v>5</v>
      </c>
      <c r="G4918" t="s">
        <v>24</v>
      </c>
      <c r="H4918">
        <f>11850*(1.01^10)</f>
        <v>13089.772186122776</v>
      </c>
      <c r="I4918">
        <f>46643*(1.01^10)</f>
        <v>51522.889795554824</v>
      </c>
      <c r="J4918" t="s">
        <v>15176</v>
      </c>
      <c r="K4918">
        <f t="shared" si="76"/>
        <v>441.29312181759803</v>
      </c>
    </row>
    <row r="4919" spans="1:11" x14ac:dyDescent="0.2">
      <c r="A4919" t="s">
        <v>56</v>
      </c>
      <c r="B4919" t="s">
        <v>5564</v>
      </c>
      <c r="C4919" t="s">
        <v>15177</v>
      </c>
      <c r="D4919" t="s">
        <v>15178</v>
      </c>
      <c r="E4919" t="s">
        <v>829</v>
      </c>
      <c r="F4919" t="s">
        <v>11</v>
      </c>
      <c r="G4919" t="s">
        <v>24</v>
      </c>
      <c r="H4919">
        <f>14980*(1.01^10)</f>
        <v>16547.239438659846</v>
      </c>
      <c r="I4919">
        <f>58312*(1.01^10)</f>
        <v>64412.725376978175</v>
      </c>
      <c r="J4919" t="s">
        <v>15179</v>
      </c>
      <c r="K4919">
        <f t="shared" si="76"/>
        <v>282.84513653314849</v>
      </c>
    </row>
    <row r="4920" spans="1:11" x14ac:dyDescent="0.2">
      <c r="A4920" t="s">
        <v>56</v>
      </c>
      <c r="B4920" t="s">
        <v>5564</v>
      </c>
      <c r="C4920" t="s">
        <v>15180</v>
      </c>
      <c r="D4920" t="s">
        <v>15181</v>
      </c>
      <c r="E4920" t="s">
        <v>103</v>
      </c>
      <c r="F4920" t="s">
        <v>24</v>
      </c>
      <c r="G4920" t="s">
        <v>24</v>
      </c>
      <c r="H4920">
        <f>15757*(1.01^10)</f>
        <v>17405.530830104351</v>
      </c>
      <c r="I4920">
        <f>60498*(1.01^10)</f>
        <v>66827.429343127063</v>
      </c>
      <c r="J4920" t="s">
        <v>15182</v>
      </c>
      <c r="K4920">
        <f t="shared" si="76"/>
        <v>473.84334292178988</v>
      </c>
    </row>
    <row r="4921" spans="1:11" x14ac:dyDescent="0.2">
      <c r="A4921" t="s">
        <v>56</v>
      </c>
      <c r="B4921" t="s">
        <v>5564</v>
      </c>
      <c r="C4921" t="s">
        <v>15183</v>
      </c>
      <c r="D4921" t="s">
        <v>15184</v>
      </c>
      <c r="E4921" t="s">
        <v>313</v>
      </c>
      <c r="F4921" t="s">
        <v>11</v>
      </c>
      <c r="G4921" t="s">
        <v>24</v>
      </c>
      <c r="H4921">
        <f>16221*(1.01^10)</f>
        <v>17918.075496295151</v>
      </c>
      <c r="I4921">
        <f>67334*(1.01^10)</f>
        <v>74378.626192438067</v>
      </c>
      <c r="J4921" t="s">
        <v>15185</v>
      </c>
      <c r="K4921">
        <f t="shared" si="76"/>
        <v>399.8375431037544</v>
      </c>
    </row>
    <row r="4922" spans="1:11" x14ac:dyDescent="0.2">
      <c r="A4922" t="s">
        <v>56</v>
      </c>
      <c r="B4922" t="s">
        <v>5564</v>
      </c>
      <c r="C4922" t="s">
        <v>15186</v>
      </c>
      <c r="D4922" t="s">
        <v>15187</v>
      </c>
      <c r="E4922" t="s">
        <v>274</v>
      </c>
      <c r="F4922" t="s">
        <v>24</v>
      </c>
      <c r="G4922" t="s">
        <v>24</v>
      </c>
      <c r="H4922">
        <f>37440*(1.01^10)</f>
        <v>41357.052375395506</v>
      </c>
      <c r="I4922">
        <f>146650*(1.01^10)</f>
        <v>161992.83469155317</v>
      </c>
      <c r="J4922" t="s">
        <v>15188</v>
      </c>
      <c r="K4922">
        <f t="shared" si="76"/>
        <v>1363.0567402875636</v>
      </c>
    </row>
    <row r="4923" spans="1:11" x14ac:dyDescent="0.2">
      <c r="A4923" t="s">
        <v>56</v>
      </c>
      <c r="B4923" t="s">
        <v>5564</v>
      </c>
      <c r="C4923" t="s">
        <v>15189</v>
      </c>
      <c r="D4923" t="s">
        <v>15190</v>
      </c>
      <c r="E4923" t="s">
        <v>103</v>
      </c>
      <c r="F4923" t="s">
        <v>24</v>
      </c>
      <c r="G4923" t="s">
        <v>24</v>
      </c>
      <c r="H4923">
        <f>15265*(1.01^10)</f>
        <v>16862.056744402042</v>
      </c>
      <c r="I4923">
        <f>60789*(1.01^10)</f>
        <v>67148.874381621732</v>
      </c>
      <c r="J4923" t="s">
        <v>15191</v>
      </c>
      <c r="K4923">
        <f t="shared" si="76"/>
        <v>379.19285693519413</v>
      </c>
    </row>
    <row r="4924" spans="1:11" x14ac:dyDescent="0.2">
      <c r="A4924" t="s">
        <v>56</v>
      </c>
      <c r="B4924" t="s">
        <v>5564</v>
      </c>
      <c r="C4924" t="s">
        <v>15192</v>
      </c>
      <c r="D4924" t="s">
        <v>15193</v>
      </c>
      <c r="E4924" t="s">
        <v>726</v>
      </c>
      <c r="F4924" t="s">
        <v>12</v>
      </c>
      <c r="G4924" t="s">
        <v>24</v>
      </c>
      <c r="H4924">
        <f>13274*(1.01^10)</f>
        <v>14662.754092708332</v>
      </c>
      <c r="I4924">
        <f>52079*(1.01^10)</f>
        <v>57527.615669290135</v>
      </c>
      <c r="J4924" t="s">
        <v>15194</v>
      </c>
      <c r="K4924">
        <f t="shared" si="76"/>
        <v>383.87018799763575</v>
      </c>
    </row>
    <row r="4925" spans="1:11" x14ac:dyDescent="0.2">
      <c r="A4925" t="s">
        <v>56</v>
      </c>
      <c r="B4925" t="s">
        <v>5564</v>
      </c>
      <c r="C4925" t="s">
        <v>15195</v>
      </c>
      <c r="D4925" t="s">
        <v>15196</v>
      </c>
      <c r="E4925" t="s">
        <v>445</v>
      </c>
      <c r="F4925" t="s">
        <v>24</v>
      </c>
      <c r="G4925" t="s">
        <v>17</v>
      </c>
      <c r="H4925">
        <f>28364*(1.01^10)</f>
        <v>31331.50196516341</v>
      </c>
      <c r="I4925">
        <f>116349*(1.01^10)</f>
        <v>128521.67966946826</v>
      </c>
      <c r="J4925" t="s">
        <v>15197</v>
      </c>
      <c r="K4925">
        <f t="shared" si="76"/>
        <v>1338.5771282225892</v>
      </c>
    </row>
    <row r="4926" spans="1:11" x14ac:dyDescent="0.2">
      <c r="A4926" t="s">
        <v>56</v>
      </c>
      <c r="B4926" t="s">
        <v>5564</v>
      </c>
      <c r="C4926" t="s">
        <v>15198</v>
      </c>
      <c r="D4926" t="s">
        <v>15199</v>
      </c>
      <c r="E4926" t="s">
        <v>24</v>
      </c>
      <c r="F4926" t="s">
        <v>24</v>
      </c>
      <c r="G4926" t="s">
        <v>24</v>
      </c>
      <c r="H4926">
        <f>66573*(1.01^10)</f>
        <v>73538.008755000134</v>
      </c>
      <c r="I4926">
        <f>260192*(1.01^10)</f>
        <v>287413.84005499218</v>
      </c>
      <c r="J4926" t="s">
        <v>15200</v>
      </c>
      <c r="K4926">
        <f t="shared" si="76"/>
        <v>2268.6387248795659</v>
      </c>
    </row>
    <row r="4927" spans="1:11" x14ac:dyDescent="0.2">
      <c r="A4927" t="s">
        <v>56</v>
      </c>
      <c r="B4927" t="s">
        <v>5564</v>
      </c>
      <c r="C4927" t="s">
        <v>15201</v>
      </c>
      <c r="D4927" t="s">
        <v>15202</v>
      </c>
      <c r="E4927" t="s">
        <v>24</v>
      </c>
      <c r="F4927" t="s">
        <v>24</v>
      </c>
      <c r="G4927" t="s">
        <v>12</v>
      </c>
      <c r="H4927">
        <f>248162*(1.01^10)</f>
        <v>274125.23588629538</v>
      </c>
      <c r="I4927">
        <f>977771*(1.01^10)</f>
        <v>1080067.4801854391</v>
      </c>
      <c r="J4927" t="s">
        <v>15203</v>
      </c>
      <c r="K4927">
        <f t="shared" si="76"/>
        <v>9678.0240159985588</v>
      </c>
    </row>
    <row r="4928" spans="1:11" x14ac:dyDescent="0.2">
      <c r="A4928" t="s">
        <v>56</v>
      </c>
      <c r="B4928" t="s">
        <v>5564</v>
      </c>
      <c r="C4928" t="s">
        <v>15204</v>
      </c>
      <c r="D4928" t="s">
        <v>15205</v>
      </c>
      <c r="E4928" t="s">
        <v>24</v>
      </c>
      <c r="F4928" t="s">
        <v>24</v>
      </c>
      <c r="G4928" t="s">
        <v>24</v>
      </c>
      <c r="H4928">
        <f>24025*(1.01^10)</f>
        <v>26538.546563004194</v>
      </c>
      <c r="I4928">
        <f>95291*(1.01^10)</f>
        <v>105260.54695255912</v>
      </c>
      <c r="J4928" t="s">
        <v>15206</v>
      </c>
      <c r="K4928">
        <f t="shared" si="76"/>
        <v>2004.9627990963641</v>
      </c>
    </row>
    <row r="4929" spans="1:11" x14ac:dyDescent="0.2">
      <c r="A4929" t="s">
        <v>56</v>
      </c>
      <c r="B4929" t="s">
        <v>5564</v>
      </c>
      <c r="C4929" t="s">
        <v>15207</v>
      </c>
      <c r="D4929" t="s">
        <v>15208</v>
      </c>
      <c r="E4929" t="s">
        <v>24</v>
      </c>
      <c r="F4929" t="s">
        <v>24</v>
      </c>
      <c r="G4929" t="s">
        <v>24</v>
      </c>
      <c r="H4929">
        <f>63788*(1.01^10)</f>
        <v>70461.636135729932</v>
      </c>
      <c r="I4929">
        <f>250423*(1.01^10)</f>
        <v>276622.78651185014</v>
      </c>
      <c r="J4929" t="s">
        <v>15209</v>
      </c>
      <c r="K4929">
        <f t="shared" si="76"/>
        <v>1991.9549687610725</v>
      </c>
    </row>
    <row r="4930" spans="1:11" x14ac:dyDescent="0.2">
      <c r="A4930" t="s">
        <v>56</v>
      </c>
      <c r="B4930" t="s">
        <v>5564</v>
      </c>
      <c r="C4930" t="s">
        <v>15210</v>
      </c>
      <c r="D4930" t="s">
        <v>15211</v>
      </c>
      <c r="E4930" t="s">
        <v>318</v>
      </c>
      <c r="F4930" t="s">
        <v>158</v>
      </c>
      <c r="G4930" t="s">
        <v>24</v>
      </c>
      <c r="H4930">
        <f>19684*(1.01^10)</f>
        <v>21743.381916594153</v>
      </c>
      <c r="I4930">
        <f>78165*(1.01^10)</f>
        <v>86342.788432766814</v>
      </c>
      <c r="J4930" t="s">
        <v>15212</v>
      </c>
      <c r="K4930">
        <f t="shared" si="76"/>
        <v>665.83269562290025</v>
      </c>
    </row>
    <row r="4931" spans="1:11" x14ac:dyDescent="0.2">
      <c r="A4931" t="s">
        <v>56</v>
      </c>
      <c r="B4931" t="s">
        <v>5564</v>
      </c>
      <c r="C4931" t="s">
        <v>15213</v>
      </c>
      <c r="D4931" t="s">
        <v>15214</v>
      </c>
      <c r="E4931" t="s">
        <v>374</v>
      </c>
      <c r="F4931" t="s">
        <v>24</v>
      </c>
      <c r="G4931" t="s">
        <v>17</v>
      </c>
      <c r="H4931">
        <f>48903*(1.01^10)</f>
        <v>54019.335798984146</v>
      </c>
      <c r="I4931">
        <f>186937*(1.01^10)</f>
        <v>206494.74625799438</v>
      </c>
      <c r="J4931" t="s">
        <v>15215</v>
      </c>
      <c r="K4931">
        <f t="shared" ref="K4931:K4994" si="77">I4931/J4931</f>
        <v>1217.3832420562201</v>
      </c>
    </row>
    <row r="4932" spans="1:11" x14ac:dyDescent="0.2">
      <c r="A4932" t="s">
        <v>56</v>
      </c>
      <c r="B4932" t="s">
        <v>5564</v>
      </c>
      <c r="C4932" t="s">
        <v>15216</v>
      </c>
      <c r="D4932" t="s">
        <v>15217</v>
      </c>
      <c r="E4932" t="s">
        <v>1656</v>
      </c>
      <c r="F4932" t="s">
        <v>24</v>
      </c>
      <c r="G4932" t="s">
        <v>12</v>
      </c>
      <c r="H4932">
        <f>23574*(1.01^10)</f>
        <v>26040.361984443742</v>
      </c>
      <c r="I4932">
        <f>88493*(1.01^10)</f>
        <v>97751.325744013739</v>
      </c>
      <c r="J4932" t="s">
        <v>15218</v>
      </c>
      <c r="K4932">
        <f t="shared" si="77"/>
        <v>821.13987523766491</v>
      </c>
    </row>
    <row r="4933" spans="1:11" x14ac:dyDescent="0.2">
      <c r="A4933" t="s">
        <v>56</v>
      </c>
      <c r="B4933" t="s">
        <v>5564</v>
      </c>
      <c r="C4933" t="s">
        <v>15219</v>
      </c>
      <c r="D4933" t="s">
        <v>15220</v>
      </c>
      <c r="E4933" t="s">
        <v>142</v>
      </c>
      <c r="F4933" t="s">
        <v>17</v>
      </c>
      <c r="G4933" t="s">
        <v>24</v>
      </c>
      <c r="H4933">
        <f>16936*(1.01^10)</f>
        <v>18707.880315964165</v>
      </c>
      <c r="I4933">
        <f>66214*(1.01^10)</f>
        <v>73141.449411977504</v>
      </c>
      <c r="J4933" t="s">
        <v>15221</v>
      </c>
      <c r="K4933">
        <f t="shared" si="77"/>
        <v>414.00625255024374</v>
      </c>
    </row>
    <row r="4934" spans="1:11" x14ac:dyDescent="0.2">
      <c r="A4934" t="s">
        <v>56</v>
      </c>
      <c r="B4934" t="s">
        <v>5564</v>
      </c>
      <c r="C4934" t="s">
        <v>15222</v>
      </c>
      <c r="D4934" t="s">
        <v>15223</v>
      </c>
      <c r="E4934" t="s">
        <v>422</v>
      </c>
      <c r="F4934" t="s">
        <v>12</v>
      </c>
      <c r="G4934" t="s">
        <v>24</v>
      </c>
      <c r="H4934">
        <f>14978*(1.01^10)</f>
        <v>16545.030194409024</v>
      </c>
      <c r="I4934">
        <f>54510*(1.01^10)</f>
        <v>60212.952056164773</v>
      </c>
      <c r="J4934" t="s">
        <v>15224</v>
      </c>
      <c r="K4934">
        <f t="shared" si="77"/>
        <v>258.55297577895294</v>
      </c>
    </row>
    <row r="4935" spans="1:11" x14ac:dyDescent="0.2">
      <c r="A4935" t="s">
        <v>56</v>
      </c>
      <c r="B4935" t="s">
        <v>5564</v>
      </c>
      <c r="C4935" t="s">
        <v>15225</v>
      </c>
      <c r="D4935" t="s">
        <v>15226</v>
      </c>
      <c r="E4935" t="s">
        <v>77</v>
      </c>
      <c r="F4935" t="s">
        <v>24</v>
      </c>
      <c r="G4935" t="s">
        <v>24</v>
      </c>
      <c r="H4935">
        <f>15869*(1.01^10)</f>
        <v>17529.248508150409</v>
      </c>
      <c r="I4935">
        <f>57568*(1.01^10)</f>
        <v>63590.886515672231</v>
      </c>
      <c r="J4935" t="s">
        <v>15227</v>
      </c>
      <c r="K4935">
        <f t="shared" si="77"/>
        <v>326.47181919243548</v>
      </c>
    </row>
    <row r="4936" spans="1:11" x14ac:dyDescent="0.2">
      <c r="A4936" t="s">
        <v>56</v>
      </c>
      <c r="B4936" t="s">
        <v>5564</v>
      </c>
      <c r="C4936" t="s">
        <v>15228</v>
      </c>
      <c r="D4936" t="s">
        <v>15229</v>
      </c>
      <c r="E4936" t="s">
        <v>427</v>
      </c>
      <c r="F4936" t="s">
        <v>17</v>
      </c>
      <c r="G4936" t="s">
        <v>24</v>
      </c>
      <c r="H4936">
        <f>17438*(1.01^10)</f>
        <v>19262.400622920588</v>
      </c>
      <c r="I4936">
        <f>67262*(1.01^10)</f>
        <v>74299.093399408448</v>
      </c>
      <c r="J4936" t="s">
        <v>15230</v>
      </c>
      <c r="K4936">
        <f t="shared" si="77"/>
        <v>469.31174810520179</v>
      </c>
    </row>
    <row r="4937" spans="1:11" x14ac:dyDescent="0.2">
      <c r="A4937" t="s">
        <v>56</v>
      </c>
      <c r="B4937" t="s">
        <v>5564</v>
      </c>
      <c r="C4937" t="s">
        <v>15231</v>
      </c>
      <c r="D4937" t="s">
        <v>15232</v>
      </c>
      <c r="E4937" t="s">
        <v>427</v>
      </c>
      <c r="F4937" t="s">
        <v>17</v>
      </c>
      <c r="G4937" t="s">
        <v>24</v>
      </c>
      <c r="H4937">
        <f>14794*(1.01^10)</f>
        <v>16341.779723333362</v>
      </c>
      <c r="I4937">
        <f>55520*(1.01^10)</f>
        <v>61328.620402830085</v>
      </c>
      <c r="J4937" t="s">
        <v>15233</v>
      </c>
      <c r="K4937">
        <f t="shared" si="77"/>
        <v>767.08460888249442</v>
      </c>
    </row>
    <row r="4938" spans="1:11" x14ac:dyDescent="0.2">
      <c r="A4938" t="s">
        <v>56</v>
      </c>
      <c r="B4938" t="s">
        <v>5564</v>
      </c>
      <c r="C4938" t="s">
        <v>15234</v>
      </c>
      <c r="D4938" t="s">
        <v>15235</v>
      </c>
      <c r="E4938" t="s">
        <v>97</v>
      </c>
      <c r="F4938" t="s">
        <v>12</v>
      </c>
      <c r="G4938" t="s">
        <v>24</v>
      </c>
      <c r="H4938">
        <f>17121*(1.01^10)</f>
        <v>18912.235409165238</v>
      </c>
      <c r="I4938">
        <f>66577*(1.01^10)</f>
        <v>73542.427243501777</v>
      </c>
      <c r="J4938" t="s">
        <v>15236</v>
      </c>
      <c r="K4938">
        <f t="shared" si="77"/>
        <v>665.05665730349915</v>
      </c>
    </row>
    <row r="4939" spans="1:11" x14ac:dyDescent="0.2">
      <c r="A4939" t="s">
        <v>56</v>
      </c>
      <c r="B4939" t="s">
        <v>5564</v>
      </c>
      <c r="C4939" t="s">
        <v>15237</v>
      </c>
      <c r="D4939" t="s">
        <v>15238</v>
      </c>
      <c r="E4939" t="s">
        <v>458</v>
      </c>
      <c r="F4939" t="s">
        <v>12</v>
      </c>
      <c r="G4939" t="s">
        <v>12</v>
      </c>
      <c r="H4939">
        <f>19114*(1.01^10)</f>
        <v>21113.747305109766</v>
      </c>
      <c r="I4939">
        <f>70553*(1.01^10)</f>
        <v>77934.404814136724</v>
      </c>
      <c r="J4939" t="s">
        <v>15239</v>
      </c>
      <c r="K4939">
        <f t="shared" si="77"/>
        <v>605.29313427664511</v>
      </c>
    </row>
    <row r="4940" spans="1:11" x14ac:dyDescent="0.2">
      <c r="A4940" t="s">
        <v>56</v>
      </c>
      <c r="B4940" t="s">
        <v>5564</v>
      </c>
      <c r="C4940" t="s">
        <v>15240</v>
      </c>
      <c r="D4940" t="s">
        <v>15241</v>
      </c>
      <c r="E4940" t="s">
        <v>1656</v>
      </c>
      <c r="F4940" t="s">
        <v>24</v>
      </c>
      <c r="G4940" t="s">
        <v>12</v>
      </c>
      <c r="H4940">
        <f>20540*(1.01^10)</f>
        <v>22688.938455946147</v>
      </c>
      <c r="I4940">
        <f>81079*(1.01^10)</f>
        <v>89561.657306215071</v>
      </c>
      <c r="J4940" t="s">
        <v>15242</v>
      </c>
      <c r="K4940">
        <f t="shared" si="77"/>
        <v>438.66968433512199</v>
      </c>
    </row>
    <row r="4941" spans="1:11" x14ac:dyDescent="0.2">
      <c r="A4941" t="s">
        <v>56</v>
      </c>
      <c r="B4941" t="s">
        <v>5564</v>
      </c>
      <c r="C4941" t="s">
        <v>15243</v>
      </c>
      <c r="D4941" t="s">
        <v>15244</v>
      </c>
      <c r="E4941" t="s">
        <v>445</v>
      </c>
      <c r="F4941" t="s">
        <v>24</v>
      </c>
      <c r="G4941" t="s">
        <v>12</v>
      </c>
      <c r="H4941">
        <f>23883*(1.01^10)</f>
        <v>26381.690221195804</v>
      </c>
      <c r="I4941">
        <f>93093*(1.01^10)</f>
        <v>102832.58752090529</v>
      </c>
      <c r="J4941" t="s">
        <v>15245</v>
      </c>
      <c r="K4941">
        <f t="shared" si="77"/>
        <v>788.05569018075732</v>
      </c>
    </row>
    <row r="4942" spans="1:11" x14ac:dyDescent="0.2">
      <c r="A4942" t="s">
        <v>56</v>
      </c>
      <c r="B4942" t="s">
        <v>5564</v>
      </c>
      <c r="C4942" t="s">
        <v>15246</v>
      </c>
      <c r="D4942" t="s">
        <v>15247</v>
      </c>
      <c r="E4942" t="s">
        <v>796</v>
      </c>
      <c r="F4942" t="s">
        <v>24</v>
      </c>
      <c r="G4942" t="s">
        <v>24</v>
      </c>
      <c r="H4942">
        <f>19956*(1.01^10)</f>
        <v>22043.839134706002</v>
      </c>
      <c r="I4942">
        <f>74101*(1.01^10)</f>
        <v>81853.604115095688</v>
      </c>
      <c r="J4942" t="s">
        <v>15248</v>
      </c>
      <c r="K4942">
        <f t="shared" si="77"/>
        <v>555.33621095323326</v>
      </c>
    </row>
    <row r="4943" spans="1:11" x14ac:dyDescent="0.2">
      <c r="A4943" t="s">
        <v>56</v>
      </c>
      <c r="B4943" t="s">
        <v>5564</v>
      </c>
      <c r="C4943" t="s">
        <v>15249</v>
      </c>
      <c r="D4943" t="s">
        <v>15250</v>
      </c>
      <c r="E4943" t="s">
        <v>1656</v>
      </c>
      <c r="F4943" t="s">
        <v>12</v>
      </c>
      <c r="G4943" t="s">
        <v>24</v>
      </c>
      <c r="H4943">
        <f>13979*(1.01^10)</f>
        <v>15441.512691123231</v>
      </c>
      <c r="I4943">
        <f>53913*(1.01^10)</f>
        <v>59553.492647294283</v>
      </c>
      <c r="J4943" t="s">
        <v>15251</v>
      </c>
      <c r="K4943">
        <f t="shared" si="77"/>
        <v>440.07803407281585</v>
      </c>
    </row>
    <row r="4944" spans="1:11" x14ac:dyDescent="0.2">
      <c r="A4944" t="s">
        <v>56</v>
      </c>
      <c r="B4944" t="s">
        <v>942</v>
      </c>
      <c r="C4944" t="s">
        <v>15252</v>
      </c>
      <c r="D4944" t="s">
        <v>15253</v>
      </c>
      <c r="E4944" t="s">
        <v>537</v>
      </c>
      <c r="F4944" t="s">
        <v>17</v>
      </c>
      <c r="G4944" t="s">
        <v>24</v>
      </c>
      <c r="H4944">
        <f>4801*(1.01^10)</f>
        <v>5303.2908240991937</v>
      </c>
      <c r="I4944">
        <f>19507*(1.01^10)</f>
        <v>21547.863800396372</v>
      </c>
      <c r="J4944" t="s">
        <v>3404</v>
      </c>
      <c r="K4944">
        <f t="shared" si="77"/>
        <v>22.214292577728219</v>
      </c>
    </row>
    <row r="4945" spans="1:11" x14ac:dyDescent="0.2">
      <c r="A4945" t="s">
        <v>56</v>
      </c>
      <c r="B4945" t="s">
        <v>942</v>
      </c>
      <c r="C4945" t="s">
        <v>15254</v>
      </c>
      <c r="D4945" t="s">
        <v>15255</v>
      </c>
      <c r="E4945" t="s">
        <v>674</v>
      </c>
      <c r="F4945" t="s">
        <v>17</v>
      </c>
      <c r="G4945" t="s">
        <v>24</v>
      </c>
      <c r="H4945">
        <f>8711*(1.01^10)</f>
        <v>9622.3633344570044</v>
      </c>
      <c r="I4945">
        <f>28178*(1.01^10)</f>
        <v>31126.042249836926</v>
      </c>
      <c r="J4945" t="s">
        <v>15256</v>
      </c>
      <c r="K4945">
        <f t="shared" si="77"/>
        <v>90.945906949233546</v>
      </c>
    </row>
    <row r="4946" spans="1:11" x14ac:dyDescent="0.2">
      <c r="A4946" t="s">
        <v>56</v>
      </c>
      <c r="B4946" t="s">
        <v>942</v>
      </c>
      <c r="C4946" t="s">
        <v>15257</v>
      </c>
      <c r="D4946" t="s">
        <v>15258</v>
      </c>
      <c r="E4946" t="s">
        <v>1010</v>
      </c>
      <c r="F4946" t="s">
        <v>382</v>
      </c>
      <c r="G4946" t="s">
        <v>24</v>
      </c>
      <c r="H4946">
        <f>7418*(1.01^10)</f>
        <v>8194.0869263003169</v>
      </c>
      <c r="I4946">
        <f>28614*(1.01^10)</f>
        <v>31607.657496516214</v>
      </c>
      <c r="J4946" t="s">
        <v>15259</v>
      </c>
      <c r="K4946">
        <f t="shared" si="77"/>
        <v>34.658183651658362</v>
      </c>
    </row>
    <row r="4947" spans="1:11" x14ac:dyDescent="0.2">
      <c r="A4947" t="s">
        <v>56</v>
      </c>
      <c r="B4947" t="s">
        <v>942</v>
      </c>
      <c r="C4947" t="s">
        <v>15260</v>
      </c>
      <c r="D4947" t="s">
        <v>15261</v>
      </c>
      <c r="E4947" t="s">
        <v>2395</v>
      </c>
      <c r="F4947" t="s">
        <v>744</v>
      </c>
      <c r="G4947" t="s">
        <v>24</v>
      </c>
      <c r="H4947">
        <f>10811*(1.01^10)</f>
        <v>11942.069797820535</v>
      </c>
      <c r="I4947">
        <f>37241*(1.01^10)</f>
        <v>41137.232572438676</v>
      </c>
      <c r="J4947" t="s">
        <v>15262</v>
      </c>
      <c r="K4947">
        <f t="shared" si="77"/>
        <v>79.236617425037878</v>
      </c>
    </row>
    <row r="4948" spans="1:11" x14ac:dyDescent="0.2">
      <c r="A4948" t="s">
        <v>56</v>
      </c>
      <c r="B4948" t="s">
        <v>942</v>
      </c>
      <c r="C4948" t="s">
        <v>15263</v>
      </c>
      <c r="D4948" t="s">
        <v>15264</v>
      </c>
      <c r="E4948" t="s">
        <v>264</v>
      </c>
      <c r="F4948" t="s">
        <v>12</v>
      </c>
      <c r="G4948" t="s">
        <v>24</v>
      </c>
      <c r="H4948">
        <f>11168*(1.01^10)</f>
        <v>12336.419896592335</v>
      </c>
      <c r="I4948">
        <f>39582*(1.01^10)</f>
        <v>43723.152968026305</v>
      </c>
      <c r="J4948" t="s">
        <v>15265</v>
      </c>
      <c r="K4948">
        <f t="shared" si="77"/>
        <v>95.978984245724178</v>
      </c>
    </row>
    <row r="4949" spans="1:11" x14ac:dyDescent="0.2">
      <c r="A4949" t="s">
        <v>56</v>
      </c>
      <c r="B4949" t="s">
        <v>942</v>
      </c>
      <c r="C4949" t="s">
        <v>15266</v>
      </c>
      <c r="D4949" t="s">
        <v>15267</v>
      </c>
      <c r="E4949" t="s">
        <v>318</v>
      </c>
      <c r="F4949" t="s">
        <v>17</v>
      </c>
      <c r="G4949" t="s">
        <v>24</v>
      </c>
      <c r="H4949">
        <f>13197*(1.01^10)</f>
        <v>14577.698189051669</v>
      </c>
      <c r="I4949">
        <f>48512*(1.01^10)</f>
        <v>53587.428547948366</v>
      </c>
      <c r="J4949" t="s">
        <v>15268</v>
      </c>
      <c r="K4949">
        <f t="shared" si="77"/>
        <v>368.983938407984</v>
      </c>
    </row>
    <row r="4950" spans="1:11" x14ac:dyDescent="0.2">
      <c r="A4950" t="s">
        <v>56</v>
      </c>
      <c r="B4950" t="s">
        <v>942</v>
      </c>
      <c r="C4950" t="s">
        <v>15269</v>
      </c>
      <c r="D4950" t="s">
        <v>15270</v>
      </c>
      <c r="E4950" t="s">
        <v>422</v>
      </c>
      <c r="F4950" t="s">
        <v>12</v>
      </c>
      <c r="G4950" t="s">
        <v>12</v>
      </c>
      <c r="H4950">
        <f>36769*(1.01^10)</f>
        <v>40615.850929244589</v>
      </c>
      <c r="I4950">
        <f>138079*(1.01^10)</f>
        <v>152525.11845465374</v>
      </c>
      <c r="J4950" t="s">
        <v>15271</v>
      </c>
      <c r="K4950">
        <f t="shared" si="77"/>
        <v>702.80885477475465</v>
      </c>
    </row>
    <row r="4951" spans="1:11" x14ac:dyDescent="0.2">
      <c r="A4951" t="s">
        <v>56</v>
      </c>
      <c r="B4951" t="s">
        <v>942</v>
      </c>
      <c r="C4951" t="s">
        <v>15272</v>
      </c>
      <c r="D4951" t="s">
        <v>15273</v>
      </c>
      <c r="E4951" t="s">
        <v>142</v>
      </c>
      <c r="F4951" t="s">
        <v>158</v>
      </c>
      <c r="G4951" t="s">
        <v>24</v>
      </c>
      <c r="H4951">
        <f>14728*(1.01^10)</f>
        <v>16268.874663056224</v>
      </c>
      <c r="I4951">
        <f>55236*(1.01^10)</f>
        <v>61014.907719213305</v>
      </c>
      <c r="J4951" t="s">
        <v>15274</v>
      </c>
      <c r="K4951">
        <f t="shared" si="77"/>
        <v>457.21406811249273</v>
      </c>
    </row>
    <row r="4952" spans="1:11" x14ac:dyDescent="0.2">
      <c r="A4952" t="s">
        <v>56</v>
      </c>
      <c r="B4952" t="s">
        <v>942</v>
      </c>
      <c r="C4952" t="s">
        <v>15275</v>
      </c>
      <c r="D4952" t="s">
        <v>15276</v>
      </c>
      <c r="E4952" t="s">
        <v>220</v>
      </c>
      <c r="F4952" t="s">
        <v>17</v>
      </c>
      <c r="G4952" t="s">
        <v>12</v>
      </c>
      <c r="H4952">
        <f>15593*(1.01^10)</f>
        <v>17224.372801536916</v>
      </c>
      <c r="I4952">
        <f>57017*(1.01^10)</f>
        <v>62982.23972457066</v>
      </c>
      <c r="J4952" t="s">
        <v>15277</v>
      </c>
      <c r="K4952">
        <f t="shared" si="77"/>
        <v>270.21856863229988</v>
      </c>
    </row>
    <row r="4953" spans="1:11" x14ac:dyDescent="0.2">
      <c r="A4953" t="s">
        <v>56</v>
      </c>
      <c r="B4953" t="s">
        <v>942</v>
      </c>
      <c r="C4953" t="s">
        <v>15278</v>
      </c>
      <c r="D4953" t="s">
        <v>15279</v>
      </c>
      <c r="E4953" t="s">
        <v>382</v>
      </c>
      <c r="F4953" t="s">
        <v>12</v>
      </c>
      <c r="G4953" t="s">
        <v>24</v>
      </c>
      <c r="H4953">
        <f>20242*(1.01^10)</f>
        <v>22359.761062573605</v>
      </c>
      <c r="I4953">
        <f>77965*(1.01^10)</f>
        <v>86121.864007684577</v>
      </c>
      <c r="J4953" t="s">
        <v>15280</v>
      </c>
      <c r="K4953">
        <f t="shared" si="77"/>
        <v>728.58223547760224</v>
      </c>
    </row>
    <row r="4954" spans="1:11" x14ac:dyDescent="0.2">
      <c r="A4954" t="s">
        <v>56</v>
      </c>
      <c r="B4954" t="s">
        <v>942</v>
      </c>
      <c r="C4954" t="s">
        <v>15281</v>
      </c>
      <c r="D4954" t="s">
        <v>15282</v>
      </c>
      <c r="E4954" t="s">
        <v>1580</v>
      </c>
      <c r="F4954" t="s">
        <v>158</v>
      </c>
      <c r="G4954" t="s">
        <v>24</v>
      </c>
      <c r="H4954">
        <f>7550*(1.01^10)</f>
        <v>8339.8970468545958</v>
      </c>
      <c r="I4954">
        <f>25912*(1.01^10)</f>
        <v>28622.968513655138</v>
      </c>
      <c r="J4954" t="s">
        <v>15283</v>
      </c>
      <c r="K4954">
        <f t="shared" si="77"/>
        <v>83.341905931862343</v>
      </c>
    </row>
    <row r="4955" spans="1:11" x14ac:dyDescent="0.2">
      <c r="A4955" t="s">
        <v>56</v>
      </c>
      <c r="B4955" t="s">
        <v>942</v>
      </c>
      <c r="C4955" t="s">
        <v>15284</v>
      </c>
      <c r="D4955" t="s">
        <v>15285</v>
      </c>
      <c r="E4955" t="s">
        <v>1106</v>
      </c>
      <c r="F4955" t="s">
        <v>11</v>
      </c>
      <c r="G4955" t="s">
        <v>12</v>
      </c>
      <c r="H4955">
        <f>10554*(1.01^10)</f>
        <v>11658.181911589854</v>
      </c>
      <c r="I4955">
        <f>39351*(1.01^10)</f>
        <v>43467.985257056316</v>
      </c>
      <c r="J4955" t="s">
        <v>15286</v>
      </c>
      <c r="K4955">
        <f t="shared" si="77"/>
        <v>92.882789077023219</v>
      </c>
    </row>
    <row r="4956" spans="1:11" x14ac:dyDescent="0.2">
      <c r="A4956" t="s">
        <v>56</v>
      </c>
      <c r="B4956" t="s">
        <v>942</v>
      </c>
      <c r="C4956" t="s">
        <v>15287</v>
      </c>
      <c r="D4956" t="s">
        <v>15043</v>
      </c>
      <c r="E4956" t="s">
        <v>411</v>
      </c>
      <c r="F4956" t="s">
        <v>24</v>
      </c>
      <c r="G4956" t="s">
        <v>24</v>
      </c>
      <c r="H4956">
        <f>21046*(1.01^10)</f>
        <v>23247.877251404214</v>
      </c>
      <c r="I4956">
        <f>71665*(1.01^10)</f>
        <v>79162.744617593984</v>
      </c>
      <c r="J4956" t="s">
        <v>15288</v>
      </c>
      <c r="K4956">
        <f t="shared" si="77"/>
        <v>377.14782261369078</v>
      </c>
    </row>
    <row r="4957" spans="1:11" x14ac:dyDescent="0.2">
      <c r="A4957" t="s">
        <v>56</v>
      </c>
      <c r="B4957" t="s">
        <v>942</v>
      </c>
      <c r="C4957" t="s">
        <v>15289</v>
      </c>
      <c r="D4957" t="s">
        <v>15290</v>
      </c>
      <c r="E4957" t="s">
        <v>318</v>
      </c>
      <c r="F4957" t="s">
        <v>12</v>
      </c>
      <c r="G4957" t="s">
        <v>24</v>
      </c>
      <c r="H4957">
        <f>19924*(1.01^10)</f>
        <v>22008.491226692844</v>
      </c>
      <c r="I4957">
        <f>69596*(1.01^10)</f>
        <v>76877.281440118211</v>
      </c>
      <c r="J4957" t="s">
        <v>15291</v>
      </c>
      <c r="K4957">
        <f t="shared" si="77"/>
        <v>384.26938021094105</v>
      </c>
    </row>
    <row r="4958" spans="1:11" x14ac:dyDescent="0.2">
      <c r="A4958" t="s">
        <v>56</v>
      </c>
      <c r="B4958" t="s">
        <v>942</v>
      </c>
      <c r="C4958" t="s">
        <v>15292</v>
      </c>
      <c r="D4958" t="s">
        <v>15293</v>
      </c>
      <c r="E4958" t="s">
        <v>356</v>
      </c>
      <c r="F4958" t="s">
        <v>24</v>
      </c>
      <c r="G4958" t="s">
        <v>24</v>
      </c>
      <c r="H4958">
        <f>22181*(1.01^10)</f>
        <v>24501.623363745934</v>
      </c>
      <c r="I4958">
        <f>79640*(1.01^10)</f>
        <v>87972.106067748347</v>
      </c>
      <c r="J4958" t="s">
        <v>15294</v>
      </c>
      <c r="K4958">
        <f t="shared" si="77"/>
        <v>481.81282316401382</v>
      </c>
    </row>
    <row r="4959" spans="1:11" x14ac:dyDescent="0.2">
      <c r="A4959" t="s">
        <v>56</v>
      </c>
      <c r="B4959" t="s">
        <v>942</v>
      </c>
      <c r="C4959" t="s">
        <v>15295</v>
      </c>
      <c r="D4959" t="s">
        <v>15296</v>
      </c>
      <c r="E4959" t="s">
        <v>411</v>
      </c>
      <c r="F4959" t="s">
        <v>24</v>
      </c>
      <c r="G4959" t="s">
        <v>24</v>
      </c>
      <c r="H4959">
        <f>20133*(1.01^10)</f>
        <v>22239.357250903784</v>
      </c>
      <c r="I4959">
        <f>74379*(1.01^10)</f>
        <v>82160.689065960003</v>
      </c>
      <c r="J4959" t="s">
        <v>15297</v>
      </c>
      <c r="K4959">
        <f t="shared" si="77"/>
        <v>1045.7441510680205</v>
      </c>
    </row>
    <row r="4960" spans="1:11" x14ac:dyDescent="0.2">
      <c r="A4960" t="s">
        <v>56</v>
      </c>
      <c r="B4960" t="s">
        <v>942</v>
      </c>
      <c r="C4960" t="s">
        <v>15298</v>
      </c>
      <c r="D4960" t="s">
        <v>15299</v>
      </c>
      <c r="E4960" t="s">
        <v>72</v>
      </c>
      <c r="F4960" t="s">
        <v>5</v>
      </c>
      <c r="G4960" t="s">
        <v>24</v>
      </c>
      <c r="H4960">
        <f>21571*(1.01^10)</f>
        <v>23827.803867245097</v>
      </c>
      <c r="I4960">
        <f>79076*(1.01^10)</f>
        <v>87349.09918901643</v>
      </c>
      <c r="J4960" t="s">
        <v>15300</v>
      </c>
      <c r="K4960">
        <f t="shared" si="77"/>
        <v>320.61853461783215</v>
      </c>
    </row>
    <row r="4961" spans="1:11" x14ac:dyDescent="0.2">
      <c r="A4961" t="s">
        <v>56</v>
      </c>
      <c r="B4961" t="s">
        <v>942</v>
      </c>
      <c r="C4961" t="s">
        <v>15301</v>
      </c>
      <c r="D4961" t="s">
        <v>15302</v>
      </c>
      <c r="E4961" t="s">
        <v>274</v>
      </c>
      <c r="F4961" t="s">
        <v>24</v>
      </c>
      <c r="G4961" t="s">
        <v>24</v>
      </c>
      <c r="H4961">
        <f>23667*(1.01^10)</f>
        <v>26143.091842106984</v>
      </c>
      <c r="I4961">
        <f>87592*(1.01^10)</f>
        <v>96756.06120901824</v>
      </c>
      <c r="J4961" t="s">
        <v>15303</v>
      </c>
      <c r="K4961">
        <f t="shared" si="77"/>
        <v>555.99656240200284</v>
      </c>
    </row>
    <row r="4962" spans="1:11" x14ac:dyDescent="0.2">
      <c r="A4962" t="s">
        <v>56</v>
      </c>
      <c r="B4962" t="s">
        <v>942</v>
      </c>
      <c r="C4962" t="s">
        <v>15304</v>
      </c>
      <c r="D4962" t="s">
        <v>15305</v>
      </c>
      <c r="E4962" t="s">
        <v>405</v>
      </c>
      <c r="F4962" t="s">
        <v>17</v>
      </c>
      <c r="G4962" t="s">
        <v>24</v>
      </c>
      <c r="H4962">
        <f>22008*(1.01^10)</f>
        <v>24310.523736049796</v>
      </c>
      <c r="I4962">
        <f>78926*(1.01^10)</f>
        <v>87183.405870204748</v>
      </c>
      <c r="J4962" t="s">
        <v>15306</v>
      </c>
      <c r="K4962">
        <f t="shared" si="77"/>
        <v>678.55302944083246</v>
      </c>
    </row>
    <row r="4963" spans="1:11" x14ac:dyDescent="0.2">
      <c r="A4963" t="s">
        <v>56</v>
      </c>
      <c r="B4963" t="s">
        <v>942</v>
      </c>
      <c r="C4963" t="s">
        <v>15307</v>
      </c>
      <c r="D4963" t="s">
        <v>15308</v>
      </c>
      <c r="E4963" t="s">
        <v>422</v>
      </c>
      <c r="F4963" t="s">
        <v>12</v>
      </c>
      <c r="G4963" t="s">
        <v>12</v>
      </c>
      <c r="H4963">
        <f>35101*(1.01^10)</f>
        <v>38773.341224058699</v>
      </c>
      <c r="I4963">
        <f>123399*(1.01^10)</f>
        <v>136309.26565361724</v>
      </c>
      <c r="J4963" t="s">
        <v>15309</v>
      </c>
      <c r="K4963">
        <f t="shared" si="77"/>
        <v>899.79075249499704</v>
      </c>
    </row>
    <row r="4964" spans="1:11" x14ac:dyDescent="0.2">
      <c r="A4964" t="s">
        <v>56</v>
      </c>
      <c r="B4964" t="s">
        <v>942</v>
      </c>
      <c r="C4964" t="s">
        <v>15310</v>
      </c>
      <c r="D4964" t="s">
        <v>15311</v>
      </c>
      <c r="E4964" t="s">
        <v>458</v>
      </c>
      <c r="F4964" t="s">
        <v>24</v>
      </c>
      <c r="G4964" t="s">
        <v>24</v>
      </c>
      <c r="H4964">
        <f>15933*(1.01^10)</f>
        <v>17599.944324176726</v>
      </c>
      <c r="I4964">
        <f>54278*(1.01^10)</f>
        <v>59956.67972306937</v>
      </c>
      <c r="J4964" t="s">
        <v>15312</v>
      </c>
      <c r="K4964">
        <f t="shared" si="77"/>
        <v>392.42469334402455</v>
      </c>
    </row>
    <row r="4965" spans="1:11" x14ac:dyDescent="0.2">
      <c r="A4965" t="s">
        <v>56</v>
      </c>
      <c r="B4965" t="s">
        <v>942</v>
      </c>
      <c r="C4965" t="s">
        <v>15313</v>
      </c>
      <c r="D4965" t="s">
        <v>15314</v>
      </c>
      <c r="E4965" t="s">
        <v>445</v>
      </c>
      <c r="F4965" t="s">
        <v>12</v>
      </c>
      <c r="G4965" t="s">
        <v>24</v>
      </c>
      <c r="H4965">
        <f>22672*(1.01^10)</f>
        <v>25043.992827322832</v>
      </c>
      <c r="I4965">
        <f>79553*(1.01^10)</f>
        <v>87876.003942837575</v>
      </c>
      <c r="J4965" t="s">
        <v>15315</v>
      </c>
      <c r="K4965">
        <f t="shared" si="77"/>
        <v>473.50229945728654</v>
      </c>
    </row>
    <row r="4966" spans="1:11" x14ac:dyDescent="0.2">
      <c r="A4966" t="s">
        <v>56</v>
      </c>
      <c r="B4966" t="s">
        <v>942</v>
      </c>
      <c r="C4966" t="s">
        <v>15316</v>
      </c>
      <c r="D4966" t="s">
        <v>15317</v>
      </c>
      <c r="E4966" t="s">
        <v>24</v>
      </c>
      <c r="F4966" t="s">
        <v>24</v>
      </c>
      <c r="G4966" t="s">
        <v>12</v>
      </c>
      <c r="H4966">
        <f>91374*(1.01^10)</f>
        <v>100933.74208732342</v>
      </c>
      <c r="I4966">
        <f>341831*(1.01^10)</f>
        <v>377594.08575143752</v>
      </c>
      <c r="J4966" t="s">
        <v>15318</v>
      </c>
      <c r="K4966">
        <f t="shared" si="77"/>
        <v>8485.2603539648881</v>
      </c>
    </row>
    <row r="4967" spans="1:11" x14ac:dyDescent="0.2">
      <c r="A4967" t="s">
        <v>56</v>
      </c>
      <c r="B4967" t="s">
        <v>942</v>
      </c>
      <c r="C4967" t="s">
        <v>15319</v>
      </c>
      <c r="D4967" t="s">
        <v>15320</v>
      </c>
      <c r="E4967" t="s">
        <v>11</v>
      </c>
      <c r="F4967" t="s">
        <v>24</v>
      </c>
      <c r="G4967" t="s">
        <v>5</v>
      </c>
      <c r="H4967">
        <f>44692*(1.01^10)</f>
        <v>49367.77202887756</v>
      </c>
      <c r="I4967">
        <f>166973*(1.01^10)</f>
        <v>184442.07014628508</v>
      </c>
      <c r="J4967" t="s">
        <v>15321</v>
      </c>
      <c r="K4967">
        <f t="shared" si="77"/>
        <v>1367.1589099464506</v>
      </c>
    </row>
    <row r="4968" spans="1:11" x14ac:dyDescent="0.2">
      <c r="A4968" t="s">
        <v>56</v>
      </c>
      <c r="B4968" t="s">
        <v>942</v>
      </c>
      <c r="C4968" t="s">
        <v>15322</v>
      </c>
      <c r="D4968" t="s">
        <v>15323</v>
      </c>
      <c r="E4968" t="s">
        <v>411</v>
      </c>
      <c r="F4968" t="s">
        <v>24</v>
      </c>
      <c r="G4968" t="s">
        <v>24</v>
      </c>
      <c r="H4968">
        <f>29004*(1.01^10)</f>
        <v>32038.460125426584</v>
      </c>
      <c r="I4968">
        <f>106085*(1.01^10)</f>
        <v>117183.83817424765</v>
      </c>
      <c r="J4968" t="s">
        <v>15324</v>
      </c>
      <c r="K4968">
        <f t="shared" si="77"/>
        <v>498.80491750385721</v>
      </c>
    </row>
    <row r="4969" spans="1:11" x14ac:dyDescent="0.2">
      <c r="A4969" t="s">
        <v>56</v>
      </c>
      <c r="B4969" t="s">
        <v>942</v>
      </c>
      <c r="C4969" t="s">
        <v>15325</v>
      </c>
      <c r="D4969" t="s">
        <v>15326</v>
      </c>
      <c r="E4969" t="s">
        <v>274</v>
      </c>
      <c r="F4969" t="s">
        <v>24</v>
      </c>
      <c r="G4969" t="s">
        <v>24</v>
      </c>
      <c r="H4969">
        <f>16129*(1.01^10)</f>
        <v>17816.450260757323</v>
      </c>
      <c r="I4969">
        <f>57106*(1.01^10)</f>
        <v>63080.551093732262</v>
      </c>
      <c r="J4969" t="s">
        <v>15327</v>
      </c>
      <c r="K4969">
        <f t="shared" si="77"/>
        <v>415.89288999747458</v>
      </c>
    </row>
    <row r="4970" spans="1:11" x14ac:dyDescent="0.2">
      <c r="A4970" t="s">
        <v>56</v>
      </c>
      <c r="B4970" t="s">
        <v>942</v>
      </c>
      <c r="C4970" t="s">
        <v>15328</v>
      </c>
      <c r="D4970" t="s">
        <v>15329</v>
      </c>
      <c r="E4970" t="s">
        <v>411</v>
      </c>
      <c r="F4970" t="s">
        <v>24</v>
      </c>
      <c r="G4970" t="s">
        <v>12</v>
      </c>
      <c r="H4970">
        <f>38889*(1.01^10)</f>
        <v>42957.649835116339</v>
      </c>
      <c r="I4970">
        <f>137979*(1.01^10)</f>
        <v>152414.65624211263</v>
      </c>
      <c r="J4970" t="s">
        <v>15330</v>
      </c>
      <c r="K4970">
        <f t="shared" si="77"/>
        <v>1034.8959821787107</v>
      </c>
    </row>
    <row r="4971" spans="1:11" x14ac:dyDescent="0.2">
      <c r="A4971" t="s">
        <v>56</v>
      </c>
      <c r="B4971" t="s">
        <v>942</v>
      </c>
      <c r="C4971" t="s">
        <v>15331</v>
      </c>
      <c r="D4971" t="s">
        <v>15332</v>
      </c>
      <c r="E4971" t="s">
        <v>796</v>
      </c>
      <c r="F4971" t="s">
        <v>11</v>
      </c>
      <c r="G4971" t="s">
        <v>12</v>
      </c>
      <c r="H4971">
        <f>36276*(1.01^10)</f>
        <v>40071.272221416861</v>
      </c>
      <c r="I4971">
        <f>129282*(1.01^10)</f>
        <v>142807.75761741138</v>
      </c>
      <c r="J4971" t="s">
        <v>15333</v>
      </c>
      <c r="K4971">
        <f t="shared" si="77"/>
        <v>1134.6285566072715</v>
      </c>
    </row>
    <row r="4972" spans="1:11" x14ac:dyDescent="0.2">
      <c r="A4972" t="s">
        <v>56</v>
      </c>
      <c r="B4972" t="s">
        <v>942</v>
      </c>
      <c r="C4972" t="s">
        <v>15334</v>
      </c>
      <c r="D4972" t="s">
        <v>15335</v>
      </c>
      <c r="E4972" t="s">
        <v>44</v>
      </c>
      <c r="F4972" t="s">
        <v>24</v>
      </c>
      <c r="G4972" t="s">
        <v>24</v>
      </c>
      <c r="H4972">
        <f>23575*(1.01^10)</f>
        <v>26041.466606569153</v>
      </c>
      <c r="I4972">
        <f>82788*(1.01^10)</f>
        <v>91449.456518542822</v>
      </c>
      <c r="J4972" t="s">
        <v>15336</v>
      </c>
      <c r="K4972">
        <f t="shared" si="77"/>
        <v>846.61565634151214</v>
      </c>
    </row>
    <row r="4973" spans="1:11" x14ac:dyDescent="0.2">
      <c r="A4973" t="s">
        <v>56</v>
      </c>
      <c r="B4973" t="s">
        <v>942</v>
      </c>
      <c r="C4973" t="s">
        <v>15337</v>
      </c>
      <c r="D4973" t="s">
        <v>15338</v>
      </c>
      <c r="E4973" t="s">
        <v>152</v>
      </c>
      <c r="F4973" t="s">
        <v>24</v>
      </c>
      <c r="G4973" t="s">
        <v>11</v>
      </c>
      <c r="H4973">
        <f>46322*(1.01^10)</f>
        <v>51168.306093297826</v>
      </c>
      <c r="I4973">
        <f>174129*(1.01^10)</f>
        <v>192346.74607572769</v>
      </c>
      <c r="J4973" t="s">
        <v>15339</v>
      </c>
      <c r="K4973">
        <f t="shared" si="77"/>
        <v>2115.0179002568593</v>
      </c>
    </row>
    <row r="4974" spans="1:11" x14ac:dyDescent="0.2">
      <c r="A4974" t="s">
        <v>56</v>
      </c>
      <c r="B4974" t="s">
        <v>942</v>
      </c>
      <c r="C4974" t="s">
        <v>15340</v>
      </c>
      <c r="D4974" t="s">
        <v>15341</v>
      </c>
      <c r="E4974" t="s">
        <v>24</v>
      </c>
      <c r="F4974" t="s">
        <v>24</v>
      </c>
      <c r="G4974" t="s">
        <v>12</v>
      </c>
      <c r="H4974">
        <f>82333*(1.01^10)</f>
        <v>90946.853451480725</v>
      </c>
      <c r="I4974">
        <f>312538*(1.01^10)</f>
        <v>345236.38983176713</v>
      </c>
      <c r="J4974" t="s">
        <v>15342</v>
      </c>
      <c r="K4974">
        <f t="shared" si="77"/>
        <v>11315.515890913377</v>
      </c>
    </row>
    <row r="4975" spans="1:11" x14ac:dyDescent="0.2">
      <c r="A4975" t="s">
        <v>56</v>
      </c>
      <c r="B4975" t="s">
        <v>942</v>
      </c>
      <c r="C4975" t="s">
        <v>15343</v>
      </c>
      <c r="D4975" t="s">
        <v>15344</v>
      </c>
      <c r="E4975" t="s">
        <v>411</v>
      </c>
      <c r="F4975" t="s">
        <v>24</v>
      </c>
      <c r="G4975" t="s">
        <v>24</v>
      </c>
      <c r="H4975">
        <f>21176*(1.01^10)</f>
        <v>23391.478127707673</v>
      </c>
      <c r="I4975">
        <f>71459*(1.01^10)</f>
        <v>78935.192459759273</v>
      </c>
      <c r="J4975" t="s">
        <v>15345</v>
      </c>
      <c r="K4975">
        <f t="shared" si="77"/>
        <v>742.20423651349347</v>
      </c>
    </row>
    <row r="4976" spans="1:11" x14ac:dyDescent="0.2">
      <c r="A4976" t="s">
        <v>56</v>
      </c>
      <c r="B4976" t="s">
        <v>942</v>
      </c>
      <c r="C4976" t="s">
        <v>15346</v>
      </c>
      <c r="D4976" t="s">
        <v>15347</v>
      </c>
      <c r="E4976" t="s">
        <v>458</v>
      </c>
      <c r="F4976" t="s">
        <v>12</v>
      </c>
      <c r="G4976" t="s">
        <v>24</v>
      </c>
      <c r="H4976">
        <f>20902*(1.01^10)</f>
        <v>23088.811665345002</v>
      </c>
      <c r="I4976">
        <f>70277*(1.01^10)</f>
        <v>77629.529107523238</v>
      </c>
      <c r="J4976" t="s">
        <v>15348</v>
      </c>
      <c r="K4976">
        <f t="shared" si="77"/>
        <v>763.11940298753495</v>
      </c>
    </row>
    <row r="4977" spans="1:11" x14ac:dyDescent="0.2">
      <c r="A4977" t="s">
        <v>56</v>
      </c>
      <c r="B4977" t="s">
        <v>942</v>
      </c>
      <c r="C4977" t="s">
        <v>15349</v>
      </c>
      <c r="D4977" t="s">
        <v>15350</v>
      </c>
      <c r="E4977" t="s">
        <v>744</v>
      </c>
      <c r="F4977" t="s">
        <v>24</v>
      </c>
      <c r="G4977" t="s">
        <v>24</v>
      </c>
      <c r="H4977">
        <f>21002*(1.01^10)</f>
        <v>23199.27387788612</v>
      </c>
      <c r="I4977">
        <f>70859*(1.01^10)</f>
        <v>78272.419184512561</v>
      </c>
      <c r="J4977" t="s">
        <v>15351</v>
      </c>
      <c r="K4977">
        <f t="shared" si="77"/>
        <v>1328.3967548825603</v>
      </c>
    </row>
    <row r="4978" spans="1:11" x14ac:dyDescent="0.2">
      <c r="A4978" t="s">
        <v>56</v>
      </c>
      <c r="B4978" t="s">
        <v>942</v>
      </c>
      <c r="C4978" t="s">
        <v>15352</v>
      </c>
      <c r="D4978" t="s">
        <v>15353</v>
      </c>
      <c r="E4978" t="s">
        <v>6</v>
      </c>
      <c r="F4978" t="s">
        <v>24</v>
      </c>
      <c r="G4978" t="s">
        <v>24</v>
      </c>
      <c r="H4978">
        <f>25160*(1.01^10)</f>
        <v>27792.292675345911</v>
      </c>
      <c r="I4978">
        <f>90499*(1.01^10)</f>
        <v>99967.197727588617</v>
      </c>
      <c r="J4978" t="s">
        <v>15354</v>
      </c>
      <c r="K4978">
        <f t="shared" si="77"/>
        <v>1822.8390563926653</v>
      </c>
    </row>
    <row r="4979" spans="1:11" x14ac:dyDescent="0.2">
      <c r="A4979" t="s">
        <v>56</v>
      </c>
      <c r="B4979" t="s">
        <v>942</v>
      </c>
      <c r="C4979" t="s">
        <v>15355</v>
      </c>
      <c r="D4979" t="s">
        <v>15356</v>
      </c>
      <c r="E4979" t="s">
        <v>274</v>
      </c>
      <c r="F4979" t="s">
        <v>24</v>
      </c>
      <c r="G4979" t="s">
        <v>24</v>
      </c>
      <c r="H4979">
        <f>19167*(1.01^10)</f>
        <v>21172.292277756562</v>
      </c>
      <c r="I4979">
        <f>65580*(1.01^10)</f>
        <v>72441.118984466812</v>
      </c>
      <c r="J4979" t="s">
        <v>15357</v>
      </c>
      <c r="K4979">
        <f t="shared" si="77"/>
        <v>663.00678667806335</v>
      </c>
    </row>
    <row r="4980" spans="1:11" x14ac:dyDescent="0.2">
      <c r="A4980" t="s">
        <v>56</v>
      </c>
      <c r="B4980" t="s">
        <v>942</v>
      </c>
      <c r="C4980" t="s">
        <v>15358</v>
      </c>
      <c r="D4980" t="s">
        <v>15359</v>
      </c>
      <c r="E4980" t="s">
        <v>458</v>
      </c>
      <c r="F4980" t="s">
        <v>24</v>
      </c>
      <c r="G4980" t="s">
        <v>12</v>
      </c>
      <c r="H4980">
        <f>38650*(1.01^10)</f>
        <v>42693.645147143063</v>
      </c>
      <c r="I4980">
        <f>132679*(1.01^10)</f>
        <v>146560.15897743322</v>
      </c>
      <c r="J4980" t="s">
        <v>15360</v>
      </c>
      <c r="K4980">
        <f t="shared" si="77"/>
        <v>1334.4652802479688</v>
      </c>
    </row>
    <row r="4981" spans="1:11" x14ac:dyDescent="0.2">
      <c r="A4981" t="s">
        <v>56</v>
      </c>
      <c r="B4981" t="s">
        <v>942</v>
      </c>
      <c r="C4981" t="s">
        <v>15361</v>
      </c>
      <c r="D4981" t="s">
        <v>15362</v>
      </c>
      <c r="E4981" t="s">
        <v>405</v>
      </c>
      <c r="F4981" t="s">
        <v>24</v>
      </c>
      <c r="G4981" t="s">
        <v>24</v>
      </c>
      <c r="H4981">
        <f>20233*(1.01^10)</f>
        <v>22349.819463444906</v>
      </c>
      <c r="I4981">
        <f>66456*(1.01^10)</f>
        <v>73408.767966327025</v>
      </c>
      <c r="J4981" t="s">
        <v>15363</v>
      </c>
      <c r="K4981">
        <f t="shared" si="77"/>
        <v>954.71021260619978</v>
      </c>
    </row>
    <row r="4982" spans="1:11" x14ac:dyDescent="0.2">
      <c r="A4982" t="s">
        <v>56</v>
      </c>
      <c r="B4982" t="s">
        <v>942</v>
      </c>
      <c r="C4982" t="s">
        <v>15364</v>
      </c>
      <c r="D4982" t="s">
        <v>15365</v>
      </c>
      <c r="E4982" t="s">
        <v>356</v>
      </c>
      <c r="F4982" t="s">
        <v>24</v>
      </c>
      <c r="G4982" t="s">
        <v>24</v>
      </c>
      <c r="H4982">
        <f>21905*(1.01^10)</f>
        <v>24196.747657132441</v>
      </c>
      <c r="I4982">
        <f>76398*(1.01^10)</f>
        <v>84390.92113716522</v>
      </c>
      <c r="J4982" t="s">
        <v>15366</v>
      </c>
      <c r="K4982">
        <f t="shared" si="77"/>
        <v>873.8244125844958</v>
      </c>
    </row>
    <row r="4983" spans="1:11" x14ac:dyDescent="0.2">
      <c r="A4983" t="s">
        <v>56</v>
      </c>
      <c r="B4983" t="s">
        <v>942</v>
      </c>
      <c r="C4983" t="s">
        <v>15367</v>
      </c>
      <c r="D4983" t="s">
        <v>15368</v>
      </c>
      <c r="E4983" t="s">
        <v>422</v>
      </c>
      <c r="F4983" t="s">
        <v>24</v>
      </c>
      <c r="G4983" t="s">
        <v>24</v>
      </c>
      <c r="H4983">
        <f>19985*(1.01^10)</f>
        <v>22075.873176342928</v>
      </c>
      <c r="I4983">
        <f>70903*(1.01^10)</f>
        <v>78321.022558030643</v>
      </c>
      <c r="J4983" t="s">
        <v>15369</v>
      </c>
      <c r="K4983">
        <f t="shared" si="77"/>
        <v>682.16477333084492</v>
      </c>
    </row>
    <row r="4984" spans="1:11" x14ac:dyDescent="0.2">
      <c r="A4984" t="s">
        <v>56</v>
      </c>
      <c r="B4984" t="s">
        <v>942</v>
      </c>
      <c r="C4984" t="s">
        <v>15370</v>
      </c>
      <c r="D4984" t="s">
        <v>14104</v>
      </c>
      <c r="E4984" t="s">
        <v>422</v>
      </c>
      <c r="F4984" t="s">
        <v>24</v>
      </c>
      <c r="G4984" t="s">
        <v>12</v>
      </c>
      <c r="H4984">
        <f>32630*(1.01^10)</f>
        <v>36043.819952167614</v>
      </c>
      <c r="I4984">
        <f>114527*(1.01^10)</f>
        <v>126509.05815696904</v>
      </c>
      <c r="J4984" t="s">
        <v>15371</v>
      </c>
      <c r="K4984">
        <f t="shared" si="77"/>
        <v>1169.8525162182359</v>
      </c>
    </row>
    <row r="4985" spans="1:11" x14ac:dyDescent="0.2">
      <c r="A4985" t="s">
        <v>56</v>
      </c>
      <c r="B4985" t="s">
        <v>942</v>
      </c>
      <c r="C4985" t="s">
        <v>15372</v>
      </c>
      <c r="D4985" t="s">
        <v>15373</v>
      </c>
      <c r="E4985" t="s">
        <v>274</v>
      </c>
      <c r="F4985" t="s">
        <v>24</v>
      </c>
      <c r="G4985" t="s">
        <v>24</v>
      </c>
      <c r="H4985">
        <f>20922*(1.01^10)</f>
        <v>23110.904107853225</v>
      </c>
      <c r="I4985">
        <f>74025*(1.01^10)</f>
        <v>81769.652833564425</v>
      </c>
      <c r="J4985" t="s">
        <v>15374</v>
      </c>
      <c r="K4985">
        <f t="shared" si="77"/>
        <v>1054.9844026185244</v>
      </c>
    </row>
    <row r="4986" spans="1:11" x14ac:dyDescent="0.2">
      <c r="A4986" t="s">
        <v>56</v>
      </c>
      <c r="B4986" t="s">
        <v>942</v>
      </c>
      <c r="C4986" t="s">
        <v>15375</v>
      </c>
      <c r="D4986" t="s">
        <v>15376</v>
      </c>
      <c r="E4986" t="s">
        <v>405</v>
      </c>
      <c r="F4986" t="s">
        <v>12</v>
      </c>
      <c r="G4986" t="s">
        <v>24</v>
      </c>
      <c r="H4986">
        <f>23393*(1.01^10)</f>
        <v>25840.425379744313</v>
      </c>
      <c r="I4986">
        <f>83360*(1.01^10)</f>
        <v>92081.300374278027</v>
      </c>
      <c r="J4986" t="s">
        <v>15377</v>
      </c>
      <c r="K4986">
        <f t="shared" si="77"/>
        <v>960.81768994162837</v>
      </c>
    </row>
    <row r="4987" spans="1:11" x14ac:dyDescent="0.2">
      <c r="A4987" t="s">
        <v>56</v>
      </c>
      <c r="B4987" t="s">
        <v>942</v>
      </c>
      <c r="C4987" t="s">
        <v>15378</v>
      </c>
      <c r="D4987" t="s">
        <v>15379</v>
      </c>
      <c r="E4987" t="s">
        <v>405</v>
      </c>
      <c r="F4987" t="s">
        <v>24</v>
      </c>
      <c r="G4987" t="s">
        <v>24</v>
      </c>
      <c r="H4987">
        <f>21732*(1.01^10)</f>
        <v>24005.648029436303</v>
      </c>
      <c r="I4987">
        <f>77859*(1.01^10)</f>
        <v>86004.774062390992</v>
      </c>
      <c r="J4987" t="s">
        <v>15380</v>
      </c>
      <c r="K4987">
        <f t="shared" si="77"/>
        <v>1001.3855861288812</v>
      </c>
    </row>
    <row r="4988" spans="1:11" x14ac:dyDescent="0.2">
      <c r="A4988" t="s">
        <v>56</v>
      </c>
      <c r="B4988" t="s">
        <v>942</v>
      </c>
      <c r="C4988" t="s">
        <v>15381</v>
      </c>
      <c r="D4988" t="s">
        <v>15382</v>
      </c>
      <c r="E4988" t="s">
        <v>274</v>
      </c>
      <c r="F4988" t="s">
        <v>24</v>
      </c>
      <c r="G4988" t="s">
        <v>24</v>
      </c>
      <c r="H4988">
        <f>19958*(1.01^10)</f>
        <v>22046.048378956824</v>
      </c>
      <c r="I4988">
        <f>66809*(1.01^10)</f>
        <v>73798.699576597181</v>
      </c>
      <c r="J4988" t="s">
        <v>15383</v>
      </c>
      <c r="K4988">
        <f t="shared" si="77"/>
        <v>618.89354164744316</v>
      </c>
    </row>
    <row r="4989" spans="1:11" x14ac:dyDescent="0.2">
      <c r="A4989" t="s">
        <v>56</v>
      </c>
      <c r="B4989" t="s">
        <v>942</v>
      </c>
      <c r="C4989" t="s">
        <v>15384</v>
      </c>
      <c r="D4989" t="s">
        <v>15385</v>
      </c>
      <c r="E4989" t="s">
        <v>726</v>
      </c>
      <c r="F4989" t="s">
        <v>24</v>
      </c>
      <c r="G4989" t="s">
        <v>24</v>
      </c>
      <c r="H4989">
        <f>18392*(1.01^10)</f>
        <v>20316.210130562878</v>
      </c>
      <c r="I4989">
        <f>63013*(1.01^10)</f>
        <v>69605.553988536238</v>
      </c>
      <c r="J4989" t="s">
        <v>15386</v>
      </c>
      <c r="K4989">
        <f t="shared" si="77"/>
        <v>547.70317178457503</v>
      </c>
    </row>
    <row r="4990" spans="1:11" x14ac:dyDescent="0.2">
      <c r="A4990" t="s">
        <v>56</v>
      </c>
      <c r="B4990" t="s">
        <v>942</v>
      </c>
      <c r="C4990" t="s">
        <v>15387</v>
      </c>
      <c r="D4990" t="s">
        <v>15388</v>
      </c>
      <c r="E4990" t="s">
        <v>458</v>
      </c>
      <c r="F4990" t="s">
        <v>24</v>
      </c>
      <c r="G4990" t="s">
        <v>24</v>
      </c>
      <c r="H4990">
        <f>22375*(1.01^10)</f>
        <v>24715.920056075705</v>
      </c>
      <c r="I4990">
        <f>82799*(1.01^10)</f>
        <v>91461.607361922346</v>
      </c>
      <c r="J4990" t="s">
        <v>15389</v>
      </c>
      <c r="K4990">
        <f t="shared" si="77"/>
        <v>369.87816900531777</v>
      </c>
    </row>
    <row r="4991" spans="1:11" x14ac:dyDescent="0.2">
      <c r="A4991" t="s">
        <v>56</v>
      </c>
      <c r="B4991" t="s">
        <v>942</v>
      </c>
      <c r="C4991" t="s">
        <v>15390</v>
      </c>
      <c r="D4991" t="s">
        <v>15391</v>
      </c>
      <c r="E4991" t="s">
        <v>108</v>
      </c>
      <c r="F4991" t="s">
        <v>24</v>
      </c>
      <c r="G4991" t="s">
        <v>24</v>
      </c>
      <c r="H4991">
        <f>19253*(1.01^10)</f>
        <v>21267.289780541923</v>
      </c>
      <c r="I4991">
        <f>67434*(1.01^10)</f>
        <v>74489.088404979178</v>
      </c>
      <c r="J4991" t="s">
        <v>15392</v>
      </c>
      <c r="K4991">
        <f t="shared" si="77"/>
        <v>365.12780239970687</v>
      </c>
    </row>
    <row r="4992" spans="1:11" x14ac:dyDescent="0.2">
      <c r="A4992" t="s">
        <v>56</v>
      </c>
      <c r="B4992" t="s">
        <v>942</v>
      </c>
      <c r="C4992" t="s">
        <v>15393</v>
      </c>
      <c r="D4992" t="s">
        <v>15394</v>
      </c>
      <c r="E4992" t="s">
        <v>108</v>
      </c>
      <c r="F4992" t="s">
        <v>24</v>
      </c>
      <c r="G4992" t="s">
        <v>24</v>
      </c>
      <c r="H4992">
        <f>19459*(1.01^10)</f>
        <v>21494.841938376634</v>
      </c>
      <c r="I4992">
        <f>68586*(1.01^10)</f>
        <v>75761.613093452892</v>
      </c>
      <c r="J4992" t="s">
        <v>15395</v>
      </c>
      <c r="K4992">
        <f t="shared" si="77"/>
        <v>760.35469347255275</v>
      </c>
    </row>
    <row r="4993" spans="1:11" x14ac:dyDescent="0.2">
      <c r="A4993" t="s">
        <v>56</v>
      </c>
      <c r="B4993" t="s">
        <v>942</v>
      </c>
      <c r="C4993" t="s">
        <v>15396</v>
      </c>
      <c r="D4993" t="s">
        <v>15397</v>
      </c>
      <c r="E4993" t="s">
        <v>44</v>
      </c>
      <c r="F4993" t="s">
        <v>12</v>
      </c>
      <c r="G4993" t="s">
        <v>24</v>
      </c>
      <c r="H4993">
        <f>18121*(1.01^10)</f>
        <v>20016.85753457644</v>
      </c>
      <c r="I4993">
        <f>65161*(1.01^10)</f>
        <v>71978.28231391951</v>
      </c>
      <c r="J4993" t="s">
        <v>15398</v>
      </c>
      <c r="K4993">
        <f t="shared" si="77"/>
        <v>733.89311511028041</v>
      </c>
    </row>
    <row r="4994" spans="1:11" x14ac:dyDescent="0.2">
      <c r="A4994" t="s">
        <v>56</v>
      </c>
      <c r="B4994" t="s">
        <v>942</v>
      </c>
      <c r="C4994" t="s">
        <v>15399</v>
      </c>
      <c r="D4994" t="s">
        <v>15400</v>
      </c>
      <c r="E4994" t="s">
        <v>445</v>
      </c>
      <c r="F4994" t="s">
        <v>24</v>
      </c>
      <c r="G4994" t="s">
        <v>24</v>
      </c>
      <c r="H4994">
        <f>20411*(1.01^10)</f>
        <v>22546.442201768099</v>
      </c>
      <c r="I4994">
        <f>75306*(1.01^10)</f>
        <v>83184.673776216179</v>
      </c>
      <c r="J4994" t="s">
        <v>15401</v>
      </c>
      <c r="K4994">
        <f t="shared" si="77"/>
        <v>722.06979227488921</v>
      </c>
    </row>
    <row r="4995" spans="1:11" x14ac:dyDescent="0.2">
      <c r="A4995" t="s">
        <v>56</v>
      </c>
      <c r="B4995" t="s">
        <v>942</v>
      </c>
      <c r="C4995" t="s">
        <v>15402</v>
      </c>
      <c r="D4995" t="s">
        <v>15403</v>
      </c>
      <c r="E4995" t="s">
        <v>458</v>
      </c>
      <c r="F4995" t="s">
        <v>24</v>
      </c>
      <c r="G4995" t="s">
        <v>24</v>
      </c>
      <c r="H4995">
        <f>17064*(1.01^10)</f>
        <v>18849.271948016798</v>
      </c>
      <c r="I4995">
        <f>63134*(1.01^10)</f>
        <v>69739.213265711005</v>
      </c>
      <c r="J4995" t="s">
        <v>15404</v>
      </c>
      <c r="K4995">
        <f t="shared" ref="K4995:K5058" si="78">I4995/J4995</f>
        <v>1291.009845332504</v>
      </c>
    </row>
    <row r="4996" spans="1:11" x14ac:dyDescent="0.2">
      <c r="A4996" t="s">
        <v>56</v>
      </c>
      <c r="B4996" t="s">
        <v>942</v>
      </c>
      <c r="C4996" t="s">
        <v>15405</v>
      </c>
      <c r="D4996" t="s">
        <v>15406</v>
      </c>
      <c r="E4996" t="s">
        <v>411</v>
      </c>
      <c r="F4996" t="s">
        <v>24</v>
      </c>
      <c r="G4996" t="s">
        <v>24</v>
      </c>
      <c r="H4996">
        <f>19234*(1.01^10)</f>
        <v>21246.301960159111</v>
      </c>
      <c r="I4996">
        <f>70639*(1.01^10)</f>
        <v>78029.402316922089</v>
      </c>
      <c r="J4996" t="s">
        <v>15407</v>
      </c>
      <c r="K4996">
        <f t="shared" si="78"/>
        <v>775.35540625743124</v>
      </c>
    </row>
    <row r="4997" spans="1:11" x14ac:dyDescent="0.2">
      <c r="A4997" t="s">
        <v>56</v>
      </c>
      <c r="B4997" t="s">
        <v>942</v>
      </c>
      <c r="C4997" t="s">
        <v>15408</v>
      </c>
      <c r="D4997" t="s">
        <v>15409</v>
      </c>
      <c r="E4997" t="s">
        <v>458</v>
      </c>
      <c r="F4997" t="s">
        <v>24</v>
      </c>
      <c r="G4997" t="s">
        <v>24</v>
      </c>
      <c r="H4997">
        <f>19387*(1.01^10)</f>
        <v>21415.309145347026</v>
      </c>
      <c r="I4997">
        <f>71433*(1.01^10)</f>
        <v>78906.472284498595</v>
      </c>
      <c r="J4997" t="s">
        <v>15410</v>
      </c>
      <c r="K4997">
        <f t="shared" si="78"/>
        <v>907.65651195254554</v>
      </c>
    </row>
    <row r="4998" spans="1:11" x14ac:dyDescent="0.2">
      <c r="A4998" t="s">
        <v>56</v>
      </c>
      <c r="B4998" t="s">
        <v>942</v>
      </c>
      <c r="C4998" t="s">
        <v>15411</v>
      </c>
      <c r="D4998" t="s">
        <v>15412</v>
      </c>
      <c r="E4998" t="s">
        <v>108</v>
      </c>
      <c r="F4998" t="s">
        <v>24</v>
      </c>
      <c r="G4998" t="s">
        <v>24</v>
      </c>
      <c r="H4998">
        <f>20326*(1.01^10)</f>
        <v>22452.549321108148</v>
      </c>
      <c r="I4998">
        <f>75847*(1.01^10)</f>
        <v>83782.274346063641</v>
      </c>
      <c r="J4998" t="s">
        <v>15413</v>
      </c>
      <c r="K4998">
        <f t="shared" si="78"/>
        <v>883.7964615985104</v>
      </c>
    </row>
    <row r="4999" spans="1:11" x14ac:dyDescent="0.2">
      <c r="A4999" t="s">
        <v>56</v>
      </c>
      <c r="B4999" t="s">
        <v>942</v>
      </c>
      <c r="C4999" t="s">
        <v>15414</v>
      </c>
      <c r="D4999" t="s">
        <v>15415</v>
      </c>
      <c r="E4999" t="s">
        <v>152</v>
      </c>
      <c r="F4999" t="s">
        <v>24</v>
      </c>
      <c r="G4999" t="s">
        <v>24</v>
      </c>
      <c r="H4999">
        <f>19214*(1.01^10)</f>
        <v>21224.209517650888</v>
      </c>
      <c r="I4999">
        <f>72560*(1.01^10)</f>
        <v>80151.381419837024</v>
      </c>
      <c r="J4999" t="s">
        <v>15416</v>
      </c>
      <c r="K4999">
        <f t="shared" si="78"/>
        <v>658.54361044383825</v>
      </c>
    </row>
    <row r="5000" spans="1:11" x14ac:dyDescent="0.2">
      <c r="A5000" t="s">
        <v>56</v>
      </c>
      <c r="B5000" t="s">
        <v>942</v>
      </c>
      <c r="C5000" t="s">
        <v>15417</v>
      </c>
      <c r="D5000" t="s">
        <v>15418</v>
      </c>
      <c r="E5000" t="s">
        <v>318</v>
      </c>
      <c r="F5000" t="s">
        <v>24</v>
      </c>
      <c r="G5000" t="s">
        <v>24</v>
      </c>
      <c r="H5000">
        <f>17853*(1.01^10)</f>
        <v>19720.818804966239</v>
      </c>
      <c r="I5000">
        <f>68242*(1.01^10)</f>
        <v>75381.623082311431</v>
      </c>
      <c r="J5000" t="s">
        <v>15419</v>
      </c>
      <c r="K5000">
        <f t="shared" si="78"/>
        <v>690.17905632878023</v>
      </c>
    </row>
    <row r="5001" spans="1:11" x14ac:dyDescent="0.2">
      <c r="A5001" t="s">
        <v>56</v>
      </c>
      <c r="B5001" t="s">
        <v>942</v>
      </c>
      <c r="C5001" t="s">
        <v>15420</v>
      </c>
      <c r="D5001" t="s">
        <v>15421</v>
      </c>
      <c r="E5001" t="s">
        <v>44</v>
      </c>
      <c r="F5001" t="s">
        <v>24</v>
      </c>
      <c r="G5001" t="s">
        <v>17</v>
      </c>
      <c r="H5001">
        <f>39239*(1.01^10)</f>
        <v>43344.267579010266</v>
      </c>
      <c r="I5001">
        <f>141693*(1.01^10)</f>
        <v>156517.22281588984</v>
      </c>
      <c r="J5001" t="s">
        <v>15422</v>
      </c>
      <c r="K5001">
        <f t="shared" si="78"/>
        <v>1955.0659921213528</v>
      </c>
    </row>
    <row r="5002" spans="1:11" x14ac:dyDescent="0.2">
      <c r="A5002" t="s">
        <v>56</v>
      </c>
      <c r="B5002" t="s">
        <v>942</v>
      </c>
      <c r="C5002" t="s">
        <v>15423</v>
      </c>
      <c r="D5002" t="s">
        <v>15424</v>
      </c>
      <c r="E5002" t="s">
        <v>318</v>
      </c>
      <c r="F5002" t="s">
        <v>24</v>
      </c>
      <c r="G5002" t="s">
        <v>24</v>
      </c>
      <c r="H5002">
        <f>16778*(1.01^10)</f>
        <v>18533.350020149192</v>
      </c>
      <c r="I5002">
        <f>59931*(1.01^10)</f>
        <v>66201.108598018909</v>
      </c>
      <c r="J5002" t="s">
        <v>15425</v>
      </c>
      <c r="K5002">
        <f t="shared" si="78"/>
        <v>551.47016548152669</v>
      </c>
    </row>
    <row r="5003" spans="1:11" x14ac:dyDescent="0.2">
      <c r="A5003" t="s">
        <v>56</v>
      </c>
      <c r="B5003" t="s">
        <v>942</v>
      </c>
      <c r="C5003" t="s">
        <v>15426</v>
      </c>
      <c r="D5003" t="s">
        <v>15427</v>
      </c>
      <c r="E5003" t="s">
        <v>318</v>
      </c>
      <c r="F5003" t="s">
        <v>24</v>
      </c>
      <c r="G5003" t="s">
        <v>24</v>
      </c>
      <c r="H5003">
        <f>20235*(1.01^10)</f>
        <v>22352.028707695728</v>
      </c>
      <c r="I5003">
        <f>74819*(1.01^10)</f>
        <v>82646.722801140932</v>
      </c>
      <c r="J5003" t="s">
        <v>15428</v>
      </c>
      <c r="K5003">
        <f t="shared" si="78"/>
        <v>484.47749864815569</v>
      </c>
    </row>
    <row r="5004" spans="1:11" x14ac:dyDescent="0.2">
      <c r="A5004" t="s">
        <v>56</v>
      </c>
      <c r="B5004" t="s">
        <v>15429</v>
      </c>
      <c r="C5004" t="s">
        <v>15430</v>
      </c>
      <c r="D5004" t="s">
        <v>15431</v>
      </c>
      <c r="E5004" t="s">
        <v>1506</v>
      </c>
      <c r="F5004" t="s">
        <v>11</v>
      </c>
      <c r="G5004" t="s">
        <v>24</v>
      </c>
      <c r="H5004">
        <f>24992*(1.01^10)</f>
        <v>27606.716158276828</v>
      </c>
      <c r="I5004">
        <f>91372*(1.01^10)</f>
        <v>100931.53284307259</v>
      </c>
      <c r="J5004" t="s">
        <v>15432</v>
      </c>
      <c r="K5004">
        <f t="shared" si="78"/>
        <v>294.54849296624707</v>
      </c>
    </row>
    <row r="5005" spans="1:11" x14ac:dyDescent="0.2">
      <c r="A5005" t="s">
        <v>56</v>
      </c>
      <c r="B5005" t="s">
        <v>15429</v>
      </c>
      <c r="C5005" t="s">
        <v>15433</v>
      </c>
      <c r="D5005" t="s">
        <v>15434</v>
      </c>
      <c r="E5005" t="s">
        <v>726</v>
      </c>
      <c r="F5005" t="s">
        <v>12</v>
      </c>
      <c r="G5005" t="s">
        <v>24</v>
      </c>
      <c r="H5005">
        <f>15626*(1.01^10)</f>
        <v>17260.825331675485</v>
      </c>
      <c r="I5005">
        <f>58360*(1.01^10)</f>
        <v>64465.747238997908</v>
      </c>
      <c r="J5005" t="s">
        <v>15435</v>
      </c>
      <c r="K5005">
        <f t="shared" si="78"/>
        <v>310.26511209891618</v>
      </c>
    </row>
    <row r="5006" spans="1:11" x14ac:dyDescent="0.2">
      <c r="A5006" t="s">
        <v>56</v>
      </c>
      <c r="B5006" t="s">
        <v>15429</v>
      </c>
      <c r="C5006" t="s">
        <v>15436</v>
      </c>
      <c r="D5006" t="s">
        <v>15437</v>
      </c>
      <c r="E5006" t="s">
        <v>796</v>
      </c>
      <c r="F5006" t="s">
        <v>12</v>
      </c>
      <c r="G5006" t="s">
        <v>24</v>
      </c>
      <c r="H5006">
        <f>15293*(1.01^10)</f>
        <v>16892.986163913552</v>
      </c>
      <c r="I5006">
        <f>56179*(1.01^10)</f>
        <v>62056.566383476071</v>
      </c>
      <c r="J5006" t="s">
        <v>15438</v>
      </c>
      <c r="K5006">
        <f t="shared" si="78"/>
        <v>218.18718837045526</v>
      </c>
    </row>
    <row r="5007" spans="1:11" x14ac:dyDescent="0.2">
      <c r="A5007" t="s">
        <v>56</v>
      </c>
      <c r="B5007" t="s">
        <v>15429</v>
      </c>
      <c r="C5007" t="s">
        <v>15439</v>
      </c>
      <c r="D5007" t="s">
        <v>15440</v>
      </c>
      <c r="E5007" t="s">
        <v>427</v>
      </c>
      <c r="F5007" t="s">
        <v>11</v>
      </c>
      <c r="G5007" t="s">
        <v>24</v>
      </c>
      <c r="H5007">
        <f>8438*(1.01^10)</f>
        <v>9320.801494219746</v>
      </c>
      <c r="I5007">
        <f>30077*(1.01^10)</f>
        <v>33223.719665992809</v>
      </c>
      <c r="J5007" t="s">
        <v>15441</v>
      </c>
      <c r="K5007">
        <f t="shared" si="78"/>
        <v>154.46301195331279</v>
      </c>
    </row>
    <row r="5008" spans="1:11" x14ac:dyDescent="0.2">
      <c r="A5008" t="s">
        <v>56</v>
      </c>
      <c r="B5008" t="s">
        <v>15429</v>
      </c>
      <c r="C5008" t="s">
        <v>15442</v>
      </c>
      <c r="D5008" t="s">
        <v>15443</v>
      </c>
      <c r="E5008" t="s">
        <v>180</v>
      </c>
      <c r="F5008" t="s">
        <v>11</v>
      </c>
      <c r="G5008" t="s">
        <v>24</v>
      </c>
      <c r="H5008">
        <f>14521*(1.01^10)</f>
        <v>16040.217883096104</v>
      </c>
      <c r="I5008">
        <f>53031*(1.01^10)</f>
        <v>58579.215932681596</v>
      </c>
      <c r="J5008" t="s">
        <v>15444</v>
      </c>
      <c r="K5008">
        <f t="shared" si="78"/>
        <v>106.58314204643176</v>
      </c>
    </row>
    <row r="5009" spans="1:11" x14ac:dyDescent="0.2">
      <c r="A5009" t="s">
        <v>56</v>
      </c>
      <c r="B5009" t="s">
        <v>15429</v>
      </c>
      <c r="C5009" t="s">
        <v>15445</v>
      </c>
      <c r="D5009" t="s">
        <v>15446</v>
      </c>
      <c r="E5009" t="s">
        <v>1340</v>
      </c>
      <c r="F5009" t="s">
        <v>17</v>
      </c>
      <c r="G5009" t="s">
        <v>24</v>
      </c>
      <c r="H5009">
        <f>13677*(1.01^10)</f>
        <v>15107.916809249047</v>
      </c>
      <c r="I5009">
        <f>45392*(1.01^10)</f>
        <v>50141.007516665406</v>
      </c>
      <c r="J5009" t="s">
        <v>15447</v>
      </c>
      <c r="K5009">
        <f t="shared" si="78"/>
        <v>125.20528112306613</v>
      </c>
    </row>
    <row r="5010" spans="1:11" x14ac:dyDescent="0.2">
      <c r="A5010" t="s">
        <v>56</v>
      </c>
      <c r="B5010" t="s">
        <v>15429</v>
      </c>
      <c r="C5010" t="s">
        <v>15448</v>
      </c>
      <c r="D5010" t="s">
        <v>15449</v>
      </c>
      <c r="E5010" t="s">
        <v>44</v>
      </c>
      <c r="F5010" t="s">
        <v>11</v>
      </c>
      <c r="G5010" t="s">
        <v>24</v>
      </c>
      <c r="H5010">
        <f>15109*(1.01^10)</f>
        <v>16689.735692837894</v>
      </c>
      <c r="I5010">
        <f>52785*(1.01^10)</f>
        <v>58307.47888983044</v>
      </c>
      <c r="J5010" t="s">
        <v>15450</v>
      </c>
      <c r="K5010">
        <f t="shared" si="78"/>
        <v>655.92806994661998</v>
      </c>
    </row>
    <row r="5011" spans="1:11" x14ac:dyDescent="0.2">
      <c r="A5011" t="s">
        <v>56</v>
      </c>
      <c r="B5011" t="s">
        <v>15429</v>
      </c>
      <c r="C5011" t="s">
        <v>15451</v>
      </c>
      <c r="D5011" t="s">
        <v>15452</v>
      </c>
      <c r="E5011" t="s">
        <v>445</v>
      </c>
      <c r="F5011" t="s">
        <v>12</v>
      </c>
      <c r="G5011" t="s">
        <v>24</v>
      </c>
      <c r="H5011">
        <f>17624*(1.01^10)</f>
        <v>19467.860338247072</v>
      </c>
      <c r="I5011">
        <f>62597*(1.01^10)</f>
        <v>69146.031184365187</v>
      </c>
      <c r="J5011" t="s">
        <v>15453</v>
      </c>
      <c r="K5011">
        <f t="shared" si="78"/>
        <v>340.62898434719875</v>
      </c>
    </row>
    <row r="5012" spans="1:11" x14ac:dyDescent="0.2">
      <c r="A5012" t="s">
        <v>56</v>
      </c>
      <c r="B5012" t="s">
        <v>15429</v>
      </c>
      <c r="C5012" t="s">
        <v>15454</v>
      </c>
      <c r="D5012" t="s">
        <v>15455</v>
      </c>
      <c r="E5012" t="s">
        <v>445</v>
      </c>
      <c r="F5012" t="s">
        <v>24</v>
      </c>
      <c r="G5012" t="s">
        <v>24</v>
      </c>
      <c r="H5012">
        <f>20785*(1.01^10)</f>
        <v>22959.570876671889</v>
      </c>
      <c r="I5012">
        <f>75694*(1.01^10)</f>
        <v>83613.267160875737</v>
      </c>
      <c r="J5012" t="s">
        <v>15456</v>
      </c>
      <c r="K5012">
        <f t="shared" si="78"/>
        <v>462.82366877027954</v>
      </c>
    </row>
    <row r="5013" spans="1:11" x14ac:dyDescent="0.2">
      <c r="A5013" t="s">
        <v>56</v>
      </c>
      <c r="B5013" t="s">
        <v>15429</v>
      </c>
      <c r="C5013" t="s">
        <v>15457</v>
      </c>
      <c r="D5013" t="s">
        <v>15458</v>
      </c>
      <c r="E5013" t="s">
        <v>422</v>
      </c>
      <c r="F5013" t="s">
        <v>17</v>
      </c>
      <c r="G5013" t="s">
        <v>24</v>
      </c>
      <c r="H5013">
        <f>29820*(1.01^10)</f>
        <v>32939.831779762128</v>
      </c>
      <c r="I5013">
        <f>109814*(1.01^10)</f>
        <v>121302.97407990604</v>
      </c>
      <c r="J5013" t="s">
        <v>15459</v>
      </c>
      <c r="K5013">
        <f t="shared" si="78"/>
        <v>552.80501721436872</v>
      </c>
    </row>
    <row r="5014" spans="1:11" x14ac:dyDescent="0.2">
      <c r="A5014" t="s">
        <v>56</v>
      </c>
      <c r="B5014" t="s">
        <v>15429</v>
      </c>
      <c r="C5014" t="s">
        <v>15460</v>
      </c>
      <c r="D5014" t="s">
        <v>15461</v>
      </c>
      <c r="E5014" t="s">
        <v>274</v>
      </c>
      <c r="F5014" t="s">
        <v>17</v>
      </c>
      <c r="G5014" t="s">
        <v>24</v>
      </c>
      <c r="H5014">
        <f>15701*(1.01^10)</f>
        <v>17343.671991081326</v>
      </c>
      <c r="I5014">
        <f>57636*(1.01^10)</f>
        <v>63666.000820200199</v>
      </c>
      <c r="J5014" t="s">
        <v>15462</v>
      </c>
      <c r="K5014">
        <f t="shared" si="78"/>
        <v>299.65381464201528</v>
      </c>
    </row>
    <row r="5015" spans="1:11" x14ac:dyDescent="0.2">
      <c r="A5015" t="s">
        <v>56</v>
      </c>
      <c r="B5015" t="s">
        <v>15429</v>
      </c>
      <c r="C5015" t="s">
        <v>15463</v>
      </c>
      <c r="D5015" t="s">
        <v>15464</v>
      </c>
      <c r="E5015" t="s">
        <v>1656</v>
      </c>
      <c r="F5015" t="s">
        <v>11</v>
      </c>
      <c r="G5015" t="s">
        <v>12</v>
      </c>
      <c r="H5015">
        <f>19180*(1.01^10)</f>
        <v>21186.652365386908</v>
      </c>
      <c r="I5015">
        <f>68989*(1.01^10)</f>
        <v>76206.775809993604</v>
      </c>
      <c r="J5015" t="s">
        <v>15465</v>
      </c>
      <c r="K5015">
        <f t="shared" si="78"/>
        <v>307.99148444608574</v>
      </c>
    </row>
    <row r="5016" spans="1:11" x14ac:dyDescent="0.2">
      <c r="A5016" t="s">
        <v>56</v>
      </c>
      <c r="B5016" t="s">
        <v>15429</v>
      </c>
      <c r="C5016" t="s">
        <v>15466</v>
      </c>
      <c r="D5016" t="s">
        <v>15467</v>
      </c>
      <c r="E5016" t="s">
        <v>382</v>
      </c>
      <c r="F5016" t="s">
        <v>17</v>
      </c>
      <c r="G5016" t="s">
        <v>24</v>
      </c>
      <c r="H5016">
        <f>22942*(1.01^10)</f>
        <v>25342.24080118386</v>
      </c>
      <c r="I5016">
        <f>80388*(1.01^10)</f>
        <v>88798.363417555927</v>
      </c>
      <c r="J5016" t="s">
        <v>15468</v>
      </c>
      <c r="K5016">
        <f t="shared" si="78"/>
        <v>369.08894006057432</v>
      </c>
    </row>
    <row r="5017" spans="1:11" x14ac:dyDescent="0.2">
      <c r="A5017" t="s">
        <v>56</v>
      </c>
      <c r="B5017" t="s">
        <v>15429</v>
      </c>
      <c r="C5017" t="s">
        <v>15469</v>
      </c>
      <c r="D5017" t="s">
        <v>15178</v>
      </c>
      <c r="E5017" t="s">
        <v>458</v>
      </c>
      <c r="F5017" t="s">
        <v>24</v>
      </c>
      <c r="G5017" t="s">
        <v>24</v>
      </c>
      <c r="H5017">
        <f>21841*(1.01^10)</f>
        <v>24126.051841106124</v>
      </c>
      <c r="I5017">
        <f>77971*(1.01^10)</f>
        <v>86128.49174043705</v>
      </c>
      <c r="J5017" t="s">
        <v>15470</v>
      </c>
      <c r="K5017">
        <f t="shared" si="78"/>
        <v>395.14905329735564</v>
      </c>
    </row>
    <row r="5018" spans="1:11" x14ac:dyDescent="0.2">
      <c r="A5018" t="s">
        <v>56</v>
      </c>
      <c r="B5018" t="s">
        <v>15429</v>
      </c>
      <c r="C5018" t="s">
        <v>15471</v>
      </c>
      <c r="D5018" t="s">
        <v>15472</v>
      </c>
      <c r="E5018" t="s">
        <v>274</v>
      </c>
      <c r="F5018" t="s">
        <v>12</v>
      </c>
      <c r="G5018" t="s">
        <v>12</v>
      </c>
      <c r="H5018">
        <f>30185*(1.01^10)</f>
        <v>33343.018855537215</v>
      </c>
      <c r="I5018">
        <f>108445*(1.01^10)</f>
        <v>119790.7463902181</v>
      </c>
      <c r="J5018" t="s">
        <v>15473</v>
      </c>
      <c r="K5018">
        <f t="shared" si="78"/>
        <v>1176.486401780013</v>
      </c>
    </row>
    <row r="5019" spans="1:11" x14ac:dyDescent="0.2">
      <c r="A5019" t="s">
        <v>56</v>
      </c>
      <c r="B5019" t="s">
        <v>15429</v>
      </c>
      <c r="C5019" t="s">
        <v>15474</v>
      </c>
      <c r="D5019" t="s">
        <v>15475</v>
      </c>
      <c r="E5019" t="s">
        <v>108</v>
      </c>
      <c r="F5019" t="s">
        <v>24</v>
      </c>
      <c r="G5019" t="s">
        <v>24</v>
      </c>
      <c r="H5019">
        <f>18585*(1.01^10)</f>
        <v>20529.402200767239</v>
      </c>
      <c r="I5019">
        <f>64774*(1.01^10)</f>
        <v>71550.793551385374</v>
      </c>
      <c r="J5019" t="s">
        <v>15476</v>
      </c>
      <c r="K5019">
        <f t="shared" si="78"/>
        <v>665.55884156616014</v>
      </c>
    </row>
    <row r="5020" spans="1:11" x14ac:dyDescent="0.2">
      <c r="A5020" t="s">
        <v>56</v>
      </c>
      <c r="B5020" t="s">
        <v>15429</v>
      </c>
      <c r="C5020" t="s">
        <v>15477</v>
      </c>
      <c r="D5020" t="s">
        <v>15478</v>
      </c>
      <c r="E5020" t="s">
        <v>796</v>
      </c>
      <c r="F5020" t="s">
        <v>5</v>
      </c>
      <c r="G5020" t="s">
        <v>12</v>
      </c>
      <c r="H5020">
        <f>31631*(1.01^10)</f>
        <v>34940.302448881819</v>
      </c>
      <c r="I5020">
        <f>114245*(1.01^10)</f>
        <v>126197.55471760308</v>
      </c>
      <c r="J5020" t="s">
        <v>15479</v>
      </c>
      <c r="K5020">
        <f t="shared" si="78"/>
        <v>959.72948522821184</v>
      </c>
    </row>
    <row r="5021" spans="1:11" x14ac:dyDescent="0.2">
      <c r="A5021" t="s">
        <v>56</v>
      </c>
      <c r="B5021" t="s">
        <v>15429</v>
      </c>
      <c r="C5021" t="s">
        <v>15480</v>
      </c>
      <c r="D5021" t="s">
        <v>15481</v>
      </c>
      <c r="E5021" t="s">
        <v>411</v>
      </c>
      <c r="F5021" t="s">
        <v>12</v>
      </c>
      <c r="G5021" t="s">
        <v>12</v>
      </c>
      <c r="H5021">
        <f>53034*(1.01^10)</f>
        <v>58582.529799057833</v>
      </c>
      <c r="I5021">
        <f>192162*(1.01^10)</f>
        <v>212266.39686326793</v>
      </c>
      <c r="J5021" t="s">
        <v>15482</v>
      </c>
      <c r="K5021">
        <f t="shared" si="78"/>
        <v>977.40000001400085</v>
      </c>
    </row>
    <row r="5022" spans="1:11" x14ac:dyDescent="0.2">
      <c r="A5022" t="s">
        <v>56</v>
      </c>
      <c r="B5022" t="s">
        <v>15429</v>
      </c>
      <c r="C5022" t="s">
        <v>15483</v>
      </c>
      <c r="D5022" t="s">
        <v>15484</v>
      </c>
      <c r="E5022" t="s">
        <v>411</v>
      </c>
      <c r="F5022" t="s">
        <v>24</v>
      </c>
      <c r="G5022" t="s">
        <v>24</v>
      </c>
      <c r="H5022">
        <f>23080*(1.01^10)</f>
        <v>25494.678654490606</v>
      </c>
      <c r="I5022">
        <f>80722*(1.01^10)</f>
        <v>89167.307207443271</v>
      </c>
      <c r="J5022" t="s">
        <v>15485</v>
      </c>
      <c r="K5022">
        <f t="shared" si="78"/>
        <v>440.21506450697206</v>
      </c>
    </row>
    <row r="5023" spans="1:11" x14ac:dyDescent="0.2">
      <c r="A5023" t="s">
        <v>56</v>
      </c>
      <c r="B5023" t="s">
        <v>15429</v>
      </c>
      <c r="C5023" t="s">
        <v>15486</v>
      </c>
      <c r="D5023" t="s">
        <v>15487</v>
      </c>
      <c r="E5023" t="s">
        <v>108</v>
      </c>
      <c r="F5023" t="s">
        <v>24</v>
      </c>
      <c r="G5023" t="s">
        <v>24</v>
      </c>
      <c r="H5023">
        <f>18193*(1.01^10)</f>
        <v>20096.390327606048</v>
      </c>
      <c r="I5023">
        <f>65216*(1.01^10)</f>
        <v>72039.036530817131</v>
      </c>
      <c r="J5023" t="s">
        <v>15488</v>
      </c>
      <c r="K5023">
        <f t="shared" si="78"/>
        <v>333.7918864378982</v>
      </c>
    </row>
    <row r="5024" spans="1:11" x14ac:dyDescent="0.2">
      <c r="A5024" t="s">
        <v>56</v>
      </c>
      <c r="B5024" t="s">
        <v>15429</v>
      </c>
      <c r="C5024" t="s">
        <v>15489</v>
      </c>
      <c r="D5024" t="s">
        <v>15490</v>
      </c>
      <c r="E5024" t="s">
        <v>56</v>
      </c>
      <c r="F5024" t="s">
        <v>24</v>
      </c>
      <c r="G5024" t="s">
        <v>24</v>
      </c>
      <c r="H5024">
        <f>23686*(1.01^10)</f>
        <v>26164.079662489796</v>
      </c>
      <c r="I5024">
        <f>88834*(1.01^10)</f>
        <v>98128.001888778963</v>
      </c>
      <c r="J5024" t="s">
        <v>15491</v>
      </c>
      <c r="K5024">
        <f t="shared" si="78"/>
        <v>377.9224462848573</v>
      </c>
    </row>
    <row r="5025" spans="1:11" x14ac:dyDescent="0.2">
      <c r="A5025" t="s">
        <v>56</v>
      </c>
      <c r="B5025" t="s">
        <v>15429</v>
      </c>
      <c r="C5025" t="s">
        <v>15492</v>
      </c>
      <c r="D5025" t="s">
        <v>15493</v>
      </c>
      <c r="E5025" t="s">
        <v>61</v>
      </c>
      <c r="F5025" t="s">
        <v>11</v>
      </c>
      <c r="G5025" t="s">
        <v>24</v>
      </c>
      <c r="H5025">
        <f>18497*(1.01^10)</f>
        <v>20432.195453731056</v>
      </c>
      <c r="I5025">
        <f>69141*(1.01^10)</f>
        <v>76374.678373056115</v>
      </c>
      <c r="J5025" t="s">
        <v>15494</v>
      </c>
      <c r="K5025">
        <f t="shared" si="78"/>
        <v>446.14248286615305</v>
      </c>
    </row>
    <row r="5026" spans="1:11" x14ac:dyDescent="0.2">
      <c r="A5026" t="s">
        <v>56</v>
      </c>
      <c r="B5026" t="s">
        <v>15429</v>
      </c>
      <c r="C5026" t="s">
        <v>15495</v>
      </c>
      <c r="D5026" t="s">
        <v>15496</v>
      </c>
      <c r="E5026" t="s">
        <v>411</v>
      </c>
      <c r="F5026" t="s">
        <v>24</v>
      </c>
      <c r="G5026" t="s">
        <v>92</v>
      </c>
      <c r="H5026">
        <f>82609*(1.01^10)</f>
        <v>91251.729158094211</v>
      </c>
      <c r="I5026">
        <f>319405*(1.01^10)</f>
        <v>352821.82996696583</v>
      </c>
      <c r="J5026" t="s">
        <v>15497</v>
      </c>
      <c r="K5026">
        <f t="shared" si="78"/>
        <v>1503.4940104877987</v>
      </c>
    </row>
    <row r="5027" spans="1:11" x14ac:dyDescent="0.2">
      <c r="A5027" t="s">
        <v>56</v>
      </c>
      <c r="B5027" t="s">
        <v>15429</v>
      </c>
      <c r="C5027" t="s">
        <v>15498</v>
      </c>
      <c r="D5027" t="s">
        <v>15499</v>
      </c>
      <c r="E5027" t="s">
        <v>427</v>
      </c>
      <c r="F5027" t="s">
        <v>24</v>
      </c>
      <c r="G5027" t="s">
        <v>24</v>
      </c>
      <c r="H5027">
        <f>18782*(1.01^10)</f>
        <v>20747.012759473248</v>
      </c>
      <c r="I5027">
        <f>66695*(1.01^10)</f>
        <v>73672.772654300294</v>
      </c>
      <c r="J5027" t="s">
        <v>15500</v>
      </c>
      <c r="K5027">
        <f t="shared" si="78"/>
        <v>397.39581876325582</v>
      </c>
    </row>
    <row r="5028" spans="1:11" x14ac:dyDescent="0.2">
      <c r="A5028" t="s">
        <v>56</v>
      </c>
      <c r="B5028" t="s">
        <v>15429</v>
      </c>
      <c r="C5028" t="s">
        <v>15501</v>
      </c>
      <c r="D5028" t="s">
        <v>15502</v>
      </c>
      <c r="E5028" t="s">
        <v>1340</v>
      </c>
      <c r="F5028" t="s">
        <v>11</v>
      </c>
      <c r="G5028" t="s">
        <v>24</v>
      </c>
      <c r="H5028">
        <f>13639*(1.01^10)</f>
        <v>15065.941168483421</v>
      </c>
      <c r="I5028">
        <f>47623*(1.01^10)</f>
        <v>52605.419478457807</v>
      </c>
      <c r="J5028" t="s">
        <v>15503</v>
      </c>
      <c r="K5028">
        <f t="shared" si="78"/>
        <v>451.89559228395638</v>
      </c>
    </row>
    <row r="5029" spans="1:11" x14ac:dyDescent="0.2">
      <c r="A5029" t="s">
        <v>56</v>
      </c>
      <c r="B5029" t="s">
        <v>15429</v>
      </c>
      <c r="C5029" t="s">
        <v>15504</v>
      </c>
      <c r="D5029" t="s">
        <v>15505</v>
      </c>
      <c r="E5029" t="s">
        <v>1340</v>
      </c>
      <c r="F5029" t="s">
        <v>12</v>
      </c>
      <c r="G5029" t="s">
        <v>24</v>
      </c>
      <c r="H5029">
        <f>20612*(1.01^10)</f>
        <v>22768.471248975751</v>
      </c>
      <c r="I5029">
        <f>70458*(1.01^10)</f>
        <v>77829.465712222664</v>
      </c>
      <c r="J5029" t="s">
        <v>15506</v>
      </c>
      <c r="K5029">
        <f t="shared" si="78"/>
        <v>662.15771060769555</v>
      </c>
    </row>
    <row r="5030" spans="1:11" x14ac:dyDescent="0.2">
      <c r="A5030" t="s">
        <v>56</v>
      </c>
      <c r="B5030" t="s">
        <v>15429</v>
      </c>
      <c r="C5030" t="s">
        <v>15507</v>
      </c>
      <c r="D5030" t="s">
        <v>15508</v>
      </c>
      <c r="E5030" t="s">
        <v>274</v>
      </c>
      <c r="F5030" t="s">
        <v>24</v>
      </c>
      <c r="G5030" t="s">
        <v>24</v>
      </c>
      <c r="H5030">
        <f>20597*(1.01^10)</f>
        <v>22751.901917094583</v>
      </c>
      <c r="I5030">
        <f>76489*(1.01^10)</f>
        <v>84491.441750577636</v>
      </c>
      <c r="J5030" t="s">
        <v>15509</v>
      </c>
      <c r="K5030">
        <f t="shared" si="78"/>
        <v>1041.8763642433314</v>
      </c>
    </row>
    <row r="5031" spans="1:11" x14ac:dyDescent="0.2">
      <c r="A5031" t="s">
        <v>56</v>
      </c>
      <c r="B5031" t="s">
        <v>15429</v>
      </c>
      <c r="C5031" t="s">
        <v>15510</v>
      </c>
      <c r="D5031" t="s">
        <v>15511</v>
      </c>
      <c r="E5031" t="s">
        <v>318</v>
      </c>
      <c r="F5031" t="s">
        <v>24</v>
      </c>
      <c r="G5031" t="s">
        <v>24</v>
      </c>
      <c r="H5031">
        <f>19192*(1.01^10)</f>
        <v>21199.90783089184</v>
      </c>
      <c r="I5031">
        <f>70194*(1.01^10)</f>
        <v>77537.845471114109</v>
      </c>
      <c r="J5031" t="s">
        <v>15512</v>
      </c>
      <c r="K5031">
        <f t="shared" si="78"/>
        <v>979.17282379505446</v>
      </c>
    </row>
    <row r="5032" spans="1:11" x14ac:dyDescent="0.2">
      <c r="A5032" t="s">
        <v>56</v>
      </c>
      <c r="B5032" t="s">
        <v>15429</v>
      </c>
      <c r="C5032" t="s">
        <v>15513</v>
      </c>
      <c r="D5032" t="s">
        <v>15514</v>
      </c>
      <c r="E5032" t="s">
        <v>152</v>
      </c>
      <c r="F5032" t="s">
        <v>24</v>
      </c>
      <c r="G5032" t="s">
        <v>12</v>
      </c>
      <c r="H5032">
        <f>41377*(1.01^10)</f>
        <v>45705.949683139421</v>
      </c>
      <c r="I5032">
        <f>148529*(1.01^10)</f>
        <v>164068.41966520084</v>
      </c>
      <c r="J5032" t="s">
        <v>15515</v>
      </c>
      <c r="K5032">
        <f t="shared" si="78"/>
        <v>2124.4840524633723</v>
      </c>
    </row>
    <row r="5033" spans="1:11" x14ac:dyDescent="0.2">
      <c r="A5033" t="s">
        <v>56</v>
      </c>
      <c r="B5033" t="s">
        <v>15429</v>
      </c>
      <c r="C5033" t="s">
        <v>15516</v>
      </c>
      <c r="D5033" t="s">
        <v>15517</v>
      </c>
      <c r="E5033" t="s">
        <v>318</v>
      </c>
      <c r="F5033" t="s">
        <v>24</v>
      </c>
      <c r="G5033" t="s">
        <v>24</v>
      </c>
      <c r="H5033">
        <f>19739*(1.01^10)</f>
        <v>21804.136133491771</v>
      </c>
      <c r="I5033">
        <f>68881*(1.01^10)</f>
        <v>76087.47662044919</v>
      </c>
      <c r="J5033" t="s">
        <v>15518</v>
      </c>
      <c r="K5033">
        <f t="shared" si="78"/>
        <v>891.65505562427109</v>
      </c>
    </row>
    <row r="5034" spans="1:11" x14ac:dyDescent="0.2">
      <c r="A5034" t="s">
        <v>56</v>
      </c>
      <c r="B5034" t="s">
        <v>15429</v>
      </c>
      <c r="C5034" t="s">
        <v>15519</v>
      </c>
      <c r="D5034" t="s">
        <v>15520</v>
      </c>
      <c r="E5034" t="s">
        <v>77</v>
      </c>
      <c r="F5034" t="s">
        <v>24</v>
      </c>
      <c r="G5034" t="s">
        <v>24</v>
      </c>
      <c r="H5034">
        <f>18622*(1.01^10)</f>
        <v>20570.273219407456</v>
      </c>
      <c r="I5034">
        <f>64963*(1.01^10)</f>
        <v>71759.567133088087</v>
      </c>
      <c r="J5034" t="s">
        <v>15521</v>
      </c>
      <c r="K5034">
        <f t="shared" si="78"/>
        <v>711.6477146073471</v>
      </c>
    </row>
    <row r="5035" spans="1:11" x14ac:dyDescent="0.2">
      <c r="A5035" t="s">
        <v>56</v>
      </c>
      <c r="B5035" t="s">
        <v>15429</v>
      </c>
      <c r="C5035" t="s">
        <v>15522</v>
      </c>
      <c r="D5035" t="s">
        <v>15523</v>
      </c>
      <c r="E5035" t="s">
        <v>274</v>
      </c>
      <c r="F5035" t="s">
        <v>24</v>
      </c>
      <c r="G5035" t="s">
        <v>24</v>
      </c>
      <c r="H5035">
        <f>20869*(1.01^10)</f>
        <v>23052.359135206432</v>
      </c>
      <c r="I5035">
        <f>73889*(1.01^10)</f>
        <v>81619.424224508504</v>
      </c>
      <c r="J5035" t="s">
        <v>15524</v>
      </c>
      <c r="K5035">
        <f t="shared" si="78"/>
        <v>680.79319580936919</v>
      </c>
    </row>
    <row r="5036" spans="1:11" x14ac:dyDescent="0.2">
      <c r="A5036" t="s">
        <v>56</v>
      </c>
      <c r="B5036" t="s">
        <v>15429</v>
      </c>
      <c r="C5036" t="s">
        <v>15525</v>
      </c>
      <c r="D5036" t="s">
        <v>15526</v>
      </c>
      <c r="E5036" t="s">
        <v>422</v>
      </c>
      <c r="F5036" t="s">
        <v>24</v>
      </c>
      <c r="G5036" t="s">
        <v>24</v>
      </c>
      <c r="H5036">
        <f>18731*(1.01^10)</f>
        <v>20690.677031077277</v>
      </c>
      <c r="I5036">
        <f>66049*(1.01^10)</f>
        <v>72959.186761284669</v>
      </c>
      <c r="J5036" t="s">
        <v>15527</v>
      </c>
      <c r="K5036">
        <f t="shared" si="78"/>
        <v>561.2023618043894</v>
      </c>
    </row>
    <row r="5037" spans="1:11" x14ac:dyDescent="0.2">
      <c r="A5037" t="s">
        <v>56</v>
      </c>
      <c r="B5037" t="s">
        <v>15429</v>
      </c>
      <c r="C5037" t="s">
        <v>15528</v>
      </c>
      <c r="D5037" t="s">
        <v>15529</v>
      </c>
      <c r="E5037" t="s">
        <v>318</v>
      </c>
      <c r="F5037" t="s">
        <v>24</v>
      </c>
      <c r="G5037" t="s">
        <v>24</v>
      </c>
      <c r="H5037">
        <f>19149*(1.01^10)</f>
        <v>21152.409079499161</v>
      </c>
      <c r="I5037">
        <f>66119*(1.01^10)</f>
        <v>73036.510310063444</v>
      </c>
      <c r="J5037" t="s">
        <v>15530</v>
      </c>
      <c r="K5037">
        <f t="shared" si="78"/>
        <v>824.38118074905844</v>
      </c>
    </row>
    <row r="5038" spans="1:11" x14ac:dyDescent="0.2">
      <c r="A5038" t="s">
        <v>56</v>
      </c>
      <c r="B5038" t="s">
        <v>15429</v>
      </c>
      <c r="C5038" t="s">
        <v>15531</v>
      </c>
      <c r="D5038" t="s">
        <v>15532</v>
      </c>
      <c r="E5038" t="s">
        <v>44</v>
      </c>
      <c r="F5038" t="s">
        <v>24</v>
      </c>
      <c r="G5038" t="s">
        <v>24</v>
      </c>
      <c r="H5038">
        <f>16952*(1.01^10)</f>
        <v>18725.554269970744</v>
      </c>
      <c r="I5038">
        <f>60153*(1.01^10)</f>
        <v>66446.334709860195</v>
      </c>
      <c r="J5038" t="s">
        <v>15533</v>
      </c>
      <c r="K5038">
        <f t="shared" si="78"/>
        <v>810.23614447132036</v>
      </c>
    </row>
    <row r="5039" spans="1:11" x14ac:dyDescent="0.2">
      <c r="A5039" t="s">
        <v>56</v>
      </c>
      <c r="B5039" t="s">
        <v>15429</v>
      </c>
      <c r="C5039" t="s">
        <v>15534</v>
      </c>
      <c r="D5039" t="s">
        <v>15535</v>
      </c>
      <c r="E5039" t="s">
        <v>1340</v>
      </c>
      <c r="F5039" t="s">
        <v>24</v>
      </c>
      <c r="G5039" t="s">
        <v>24</v>
      </c>
      <c r="H5039">
        <f>19482*(1.01^10)</f>
        <v>21520.24824726109</v>
      </c>
      <c r="I5039">
        <f>65831*(1.01^10)</f>
        <v>72718.379137945027</v>
      </c>
      <c r="J5039" t="s">
        <v>15536</v>
      </c>
      <c r="K5039">
        <f t="shared" si="78"/>
        <v>913.22313091554531</v>
      </c>
    </row>
    <row r="5040" spans="1:11" x14ac:dyDescent="0.2">
      <c r="A5040" t="s">
        <v>56</v>
      </c>
      <c r="B5040" t="s">
        <v>15429</v>
      </c>
      <c r="C5040" t="s">
        <v>15537</v>
      </c>
      <c r="D5040" t="s">
        <v>15538</v>
      </c>
      <c r="E5040" t="s">
        <v>318</v>
      </c>
      <c r="F5040" t="s">
        <v>24</v>
      </c>
      <c r="G5040" t="s">
        <v>24</v>
      </c>
      <c r="H5040">
        <f>19124*(1.01^10)</f>
        <v>21124.793526363879</v>
      </c>
      <c r="I5040">
        <f>69317*(1.01^10)</f>
        <v>76569.091867128474</v>
      </c>
      <c r="J5040" t="s">
        <v>15539</v>
      </c>
      <c r="K5040">
        <f t="shared" si="78"/>
        <v>1130.7327140004195</v>
      </c>
    </row>
    <row r="5041" spans="1:11" x14ac:dyDescent="0.2">
      <c r="A5041" t="s">
        <v>56</v>
      </c>
      <c r="B5041" t="s">
        <v>15429</v>
      </c>
      <c r="C5041" t="s">
        <v>15540</v>
      </c>
      <c r="D5041" t="s">
        <v>15541</v>
      </c>
      <c r="E5041" t="s">
        <v>405</v>
      </c>
      <c r="F5041" t="s">
        <v>24</v>
      </c>
      <c r="G5041" t="s">
        <v>24</v>
      </c>
      <c r="H5041">
        <f>17477*(1.01^10)</f>
        <v>19305.480885811627</v>
      </c>
      <c r="I5041">
        <f>60711*(1.01^10)</f>
        <v>67062.713855839655</v>
      </c>
      <c r="J5041" t="s">
        <v>15542</v>
      </c>
      <c r="K5041">
        <f t="shared" si="78"/>
        <v>988.69961165914833</v>
      </c>
    </row>
    <row r="5042" spans="1:11" x14ac:dyDescent="0.2">
      <c r="A5042" t="s">
        <v>56</v>
      </c>
      <c r="B5042" t="s">
        <v>15429</v>
      </c>
      <c r="C5042" t="s">
        <v>15543</v>
      </c>
      <c r="D5042" t="s">
        <v>15544</v>
      </c>
      <c r="E5042" t="s">
        <v>318</v>
      </c>
      <c r="F5042" t="s">
        <v>24</v>
      </c>
      <c r="G5042" t="s">
        <v>24</v>
      </c>
      <c r="H5042">
        <f>18294*(1.01^10)</f>
        <v>20207.957162272578</v>
      </c>
      <c r="I5042">
        <f>65706*(1.01^10)</f>
        <v>72580.301372268616</v>
      </c>
      <c r="J5042" t="s">
        <v>15545</v>
      </c>
      <c r="K5042">
        <f t="shared" si="78"/>
        <v>791.54827309323593</v>
      </c>
    </row>
    <row r="5043" spans="1:11" x14ac:dyDescent="0.2">
      <c r="A5043" t="s">
        <v>56</v>
      </c>
      <c r="B5043" t="s">
        <v>15429</v>
      </c>
      <c r="C5043" t="s">
        <v>15546</v>
      </c>
      <c r="D5043" t="s">
        <v>15547</v>
      </c>
      <c r="E5043" t="s">
        <v>318</v>
      </c>
      <c r="F5043" t="s">
        <v>24</v>
      </c>
      <c r="G5043" t="s">
        <v>24</v>
      </c>
      <c r="H5043">
        <f>18260*(1.01^10)</f>
        <v>20170.400010008598</v>
      </c>
      <c r="I5043">
        <f>64912*(1.01^10)</f>
        <v>71703.231404692124</v>
      </c>
      <c r="J5043" t="s">
        <v>15548</v>
      </c>
      <c r="K5043">
        <f t="shared" si="78"/>
        <v>706.41695701822482</v>
      </c>
    </row>
    <row r="5044" spans="1:11" x14ac:dyDescent="0.2">
      <c r="A5044" t="s">
        <v>56</v>
      </c>
      <c r="B5044" t="s">
        <v>15429</v>
      </c>
      <c r="C5044" t="s">
        <v>15549</v>
      </c>
      <c r="D5044" t="s">
        <v>15550</v>
      </c>
      <c r="E5044" t="s">
        <v>318</v>
      </c>
      <c r="F5044" t="s">
        <v>24</v>
      </c>
      <c r="G5044" t="s">
        <v>12</v>
      </c>
      <c r="H5044">
        <f>61920*(1.01^10)</f>
        <v>68398.202005461804</v>
      </c>
      <c r="I5044">
        <f>226497*(1.01^10)</f>
        <v>250193.59753926165</v>
      </c>
      <c r="J5044" t="s">
        <v>15551</v>
      </c>
      <c r="K5044">
        <f t="shared" si="78"/>
        <v>1286.4114245559815</v>
      </c>
    </row>
    <row r="5045" spans="1:11" x14ac:dyDescent="0.2">
      <c r="A5045" t="s">
        <v>56</v>
      </c>
      <c r="B5045" t="s">
        <v>15429</v>
      </c>
      <c r="C5045" t="s">
        <v>15552</v>
      </c>
      <c r="D5045" t="s">
        <v>15553</v>
      </c>
      <c r="E5045" t="s">
        <v>458</v>
      </c>
      <c r="F5045" t="s">
        <v>24</v>
      </c>
      <c r="G5045" t="s">
        <v>24</v>
      </c>
      <c r="H5045">
        <f>19379*(1.01^10)</f>
        <v>21406.472168343738</v>
      </c>
      <c r="I5045">
        <f>68118*(1.01^10)</f>
        <v>75244.649938760442</v>
      </c>
      <c r="J5045" t="s">
        <v>15554</v>
      </c>
      <c r="K5045">
        <f t="shared" si="78"/>
        <v>475.90841478063527</v>
      </c>
    </row>
    <row r="5046" spans="1:11" x14ac:dyDescent="0.2">
      <c r="A5046" t="s">
        <v>56</v>
      </c>
      <c r="B5046" t="s">
        <v>15429</v>
      </c>
      <c r="C5046" t="s">
        <v>15555</v>
      </c>
      <c r="D5046" t="s">
        <v>15556</v>
      </c>
      <c r="E5046" t="s">
        <v>158</v>
      </c>
      <c r="F5046" t="s">
        <v>24</v>
      </c>
      <c r="G5046" t="s">
        <v>24</v>
      </c>
      <c r="H5046">
        <f>20199*(1.01^10)</f>
        <v>22312.262311180926</v>
      </c>
      <c r="I5046">
        <f>72255*(1.01^10)</f>
        <v>79814.471671586594</v>
      </c>
      <c r="J5046" t="s">
        <v>15557</v>
      </c>
      <c r="K5046">
        <f t="shared" si="78"/>
        <v>571.57590742415584</v>
      </c>
    </row>
    <row r="5047" spans="1:11" x14ac:dyDescent="0.2">
      <c r="A5047" t="s">
        <v>56</v>
      </c>
      <c r="B5047" t="s">
        <v>15429</v>
      </c>
      <c r="C5047" t="s">
        <v>15558</v>
      </c>
      <c r="D5047" t="s">
        <v>15559</v>
      </c>
      <c r="E5047" t="s">
        <v>274</v>
      </c>
      <c r="F5047" t="s">
        <v>24</v>
      </c>
      <c r="G5047" t="s">
        <v>12</v>
      </c>
      <c r="H5047">
        <f>37289*(1.01^10)</f>
        <v>41190.254434458417</v>
      </c>
      <c r="I5047">
        <f>138741*(1.01^10)</f>
        <v>153256.37830167596</v>
      </c>
      <c r="J5047" t="s">
        <v>15560</v>
      </c>
      <c r="K5047">
        <f t="shared" si="78"/>
        <v>972.91680477177761</v>
      </c>
    </row>
    <row r="5048" spans="1:11" x14ac:dyDescent="0.2">
      <c r="A5048" t="s">
        <v>56</v>
      </c>
      <c r="B5048" t="s">
        <v>15429</v>
      </c>
      <c r="C5048" t="s">
        <v>15561</v>
      </c>
      <c r="D5048" t="s">
        <v>15562</v>
      </c>
      <c r="E5048" t="s">
        <v>44</v>
      </c>
      <c r="F5048" t="s">
        <v>24</v>
      </c>
      <c r="G5048" t="s">
        <v>12</v>
      </c>
      <c r="H5048">
        <f>36377*(1.01^10)</f>
        <v>40182.839056083394</v>
      </c>
      <c r="I5048">
        <f>129717*(1.01^10)</f>
        <v>143288.26824196524</v>
      </c>
      <c r="J5048" t="s">
        <v>15563</v>
      </c>
      <c r="K5048">
        <f t="shared" si="78"/>
        <v>1658.23391506851</v>
      </c>
    </row>
    <row r="5049" spans="1:11" x14ac:dyDescent="0.2">
      <c r="A5049" t="s">
        <v>56</v>
      </c>
      <c r="B5049" t="s">
        <v>15429</v>
      </c>
      <c r="C5049" t="s">
        <v>15564</v>
      </c>
      <c r="D5049" t="s">
        <v>15238</v>
      </c>
      <c r="E5049" t="s">
        <v>274</v>
      </c>
      <c r="F5049" t="s">
        <v>24</v>
      </c>
      <c r="G5049" t="s">
        <v>24</v>
      </c>
      <c r="H5049">
        <f>20414*(1.01^10)</f>
        <v>22549.756068144332</v>
      </c>
      <c r="I5049">
        <f>71890*(1.01^10)</f>
        <v>79411.284595811507</v>
      </c>
      <c r="J5049" t="s">
        <v>15565</v>
      </c>
      <c r="K5049">
        <f t="shared" si="78"/>
        <v>973.07660510824212</v>
      </c>
    </row>
    <row r="5050" spans="1:11" x14ac:dyDescent="0.2">
      <c r="A5050" t="s">
        <v>56</v>
      </c>
      <c r="B5050" t="s">
        <v>968</v>
      </c>
      <c r="C5050" t="s">
        <v>15566</v>
      </c>
      <c r="D5050" t="s">
        <v>15567</v>
      </c>
      <c r="E5050" t="s">
        <v>61</v>
      </c>
      <c r="F5050" t="s">
        <v>11</v>
      </c>
      <c r="G5050" t="s">
        <v>24</v>
      </c>
      <c r="H5050">
        <f>17149*(1.01^10)</f>
        <v>18943.164828676749</v>
      </c>
      <c r="I5050">
        <f>61749*(1.01^10)</f>
        <v>68209.311622016481</v>
      </c>
      <c r="J5050" t="s">
        <v>15568</v>
      </c>
      <c r="K5050">
        <f t="shared" si="78"/>
        <v>354.31144723870358</v>
      </c>
    </row>
    <row r="5051" spans="1:11" x14ac:dyDescent="0.2">
      <c r="A5051" t="s">
        <v>56</v>
      </c>
      <c r="B5051" t="s">
        <v>968</v>
      </c>
      <c r="C5051" t="s">
        <v>15569</v>
      </c>
      <c r="D5051" t="s">
        <v>15570</v>
      </c>
      <c r="E5051" t="s">
        <v>726</v>
      </c>
      <c r="F5051" t="s">
        <v>24</v>
      </c>
      <c r="G5051" t="s">
        <v>12</v>
      </c>
      <c r="H5051">
        <f>32711*(1.01^10)</f>
        <v>36133.294344325921</v>
      </c>
      <c r="I5051">
        <f>126275*(1.01^10)</f>
        <v>139486.15888629988</v>
      </c>
      <c r="J5051" t="s">
        <v>15571</v>
      </c>
      <c r="K5051">
        <f t="shared" si="78"/>
        <v>513.96391588753079</v>
      </c>
    </row>
    <row r="5052" spans="1:11" x14ac:dyDescent="0.2">
      <c r="A5052" t="s">
        <v>56</v>
      </c>
      <c r="B5052" t="s">
        <v>968</v>
      </c>
      <c r="C5052" t="s">
        <v>15572</v>
      </c>
      <c r="D5052" t="s">
        <v>15573</v>
      </c>
      <c r="E5052" t="s">
        <v>458</v>
      </c>
      <c r="F5052" t="s">
        <v>24</v>
      </c>
      <c r="G5052" t="s">
        <v>24</v>
      </c>
      <c r="H5052">
        <f>14262*(1.01^10)</f>
        <v>15754.120752614603</v>
      </c>
      <c r="I5052">
        <f>51811*(1.01^10)</f>
        <v>57231.57693967993</v>
      </c>
      <c r="J5052" t="s">
        <v>15574</v>
      </c>
      <c r="K5052">
        <f t="shared" si="78"/>
        <v>349.66878097869113</v>
      </c>
    </row>
    <row r="5053" spans="1:11" x14ac:dyDescent="0.2">
      <c r="A5053" t="s">
        <v>56</v>
      </c>
      <c r="B5053" t="s">
        <v>968</v>
      </c>
      <c r="C5053" t="s">
        <v>15575</v>
      </c>
      <c r="D5053" t="s">
        <v>15576</v>
      </c>
      <c r="E5053" t="s">
        <v>77</v>
      </c>
      <c r="F5053" t="s">
        <v>12</v>
      </c>
      <c r="G5053" t="s">
        <v>24</v>
      </c>
      <c r="H5053">
        <f>24662*(1.01^10)</f>
        <v>27242.190856891131</v>
      </c>
      <c r="I5053">
        <f>92291*(1.01^10)</f>
        <v>101946.6805763255</v>
      </c>
      <c r="J5053" t="s">
        <v>15577</v>
      </c>
      <c r="K5053">
        <f t="shared" si="78"/>
        <v>555.9975288929744</v>
      </c>
    </row>
    <row r="5054" spans="1:11" x14ac:dyDescent="0.2">
      <c r="A5054" t="s">
        <v>56</v>
      </c>
      <c r="B5054" t="s">
        <v>968</v>
      </c>
      <c r="C5054" t="s">
        <v>15578</v>
      </c>
      <c r="D5054" t="s">
        <v>15579</v>
      </c>
      <c r="E5054" t="s">
        <v>726</v>
      </c>
      <c r="F5054" t="s">
        <v>17</v>
      </c>
      <c r="G5054" t="s">
        <v>24</v>
      </c>
      <c r="H5054">
        <f>14115*(1.01^10)</f>
        <v>15591.741300179156</v>
      </c>
      <c r="I5054">
        <f>49089*(1.01^10)</f>
        <v>54224.79551431063</v>
      </c>
      <c r="J5054" t="s">
        <v>15580</v>
      </c>
      <c r="K5054">
        <f t="shared" si="78"/>
        <v>262.37169880130654</v>
      </c>
    </row>
    <row r="5055" spans="1:11" x14ac:dyDescent="0.2">
      <c r="A5055" t="s">
        <v>56</v>
      </c>
      <c r="B5055" t="s">
        <v>968</v>
      </c>
      <c r="C5055" t="s">
        <v>15581</v>
      </c>
      <c r="D5055" t="s">
        <v>15582</v>
      </c>
      <c r="E5055" t="s">
        <v>411</v>
      </c>
      <c r="F5055" t="s">
        <v>12</v>
      </c>
      <c r="G5055" t="s">
        <v>24</v>
      </c>
      <c r="H5055">
        <f>17939*(1.01^10)</f>
        <v>19815.816307751604</v>
      </c>
      <c r="I5055">
        <f>66947*(1.01^10)</f>
        <v>73951.137429903931</v>
      </c>
      <c r="J5055" t="s">
        <v>15583</v>
      </c>
      <c r="K5055">
        <f t="shared" si="78"/>
        <v>375.87726287761581</v>
      </c>
    </row>
    <row r="5056" spans="1:11" x14ac:dyDescent="0.2">
      <c r="A5056" t="s">
        <v>56</v>
      </c>
      <c r="B5056" t="s">
        <v>968</v>
      </c>
      <c r="C5056" t="s">
        <v>15584</v>
      </c>
      <c r="D5056" t="s">
        <v>15585</v>
      </c>
      <c r="E5056" t="s">
        <v>1340</v>
      </c>
      <c r="F5056" t="s">
        <v>24</v>
      </c>
      <c r="G5056" t="s">
        <v>24</v>
      </c>
      <c r="H5056">
        <f>20085*(1.01^10)</f>
        <v>22186.335388884047</v>
      </c>
      <c r="I5056">
        <f>71544*(1.01^10)</f>
        <v>79029.085340419231</v>
      </c>
      <c r="J5056" t="s">
        <v>15586</v>
      </c>
      <c r="K5056">
        <f t="shared" si="78"/>
        <v>359.19778617085012</v>
      </c>
    </row>
    <row r="5057" spans="1:11" x14ac:dyDescent="0.2">
      <c r="A5057" t="s">
        <v>56</v>
      </c>
      <c r="B5057" t="s">
        <v>968</v>
      </c>
      <c r="C5057" t="s">
        <v>15587</v>
      </c>
      <c r="D5057" t="s">
        <v>15588</v>
      </c>
      <c r="E5057" t="s">
        <v>445</v>
      </c>
      <c r="F5057" t="s">
        <v>24</v>
      </c>
      <c r="G5057" t="s">
        <v>12</v>
      </c>
      <c r="H5057">
        <f>20605*(1.01^10)</f>
        <v>22760.738894097874</v>
      </c>
      <c r="I5057">
        <f>76731*(1.01^10)</f>
        <v>84758.760304927157</v>
      </c>
      <c r="J5057" t="s">
        <v>15589</v>
      </c>
      <c r="K5057">
        <f t="shared" si="78"/>
        <v>436.07454462926415</v>
      </c>
    </row>
    <row r="5058" spans="1:11" x14ac:dyDescent="0.2">
      <c r="A5058" t="s">
        <v>56</v>
      </c>
      <c r="B5058" t="s">
        <v>968</v>
      </c>
      <c r="C5058" t="s">
        <v>15590</v>
      </c>
      <c r="D5058" t="s">
        <v>15591</v>
      </c>
      <c r="E5058" t="s">
        <v>458</v>
      </c>
      <c r="F5058" t="s">
        <v>24</v>
      </c>
      <c r="G5058" t="s">
        <v>24</v>
      </c>
      <c r="H5058">
        <f>12697*(1.01^10)</f>
        <v>14025.387126346066</v>
      </c>
      <c r="I5058">
        <f>48463*(1.01^10)</f>
        <v>53533.302063803218</v>
      </c>
      <c r="J5058" t="s">
        <v>15592</v>
      </c>
      <c r="K5058">
        <f t="shared" si="78"/>
        <v>268.74212958344987</v>
      </c>
    </row>
    <row r="5059" spans="1:11" x14ac:dyDescent="0.2">
      <c r="A5059" t="s">
        <v>56</v>
      </c>
      <c r="B5059" t="s">
        <v>968</v>
      </c>
      <c r="C5059" t="s">
        <v>15593</v>
      </c>
      <c r="D5059" t="s">
        <v>15594</v>
      </c>
      <c r="E5059" t="s">
        <v>108</v>
      </c>
      <c r="F5059" t="s">
        <v>24</v>
      </c>
      <c r="G5059" t="s">
        <v>24</v>
      </c>
      <c r="H5059">
        <f>12271*(1.01^10)</f>
        <v>13554.818100920893</v>
      </c>
      <c r="I5059">
        <f>46226*(1.01^10)</f>
        <v>51062.262369258351</v>
      </c>
      <c r="J5059" t="s">
        <v>15595</v>
      </c>
      <c r="K5059">
        <f t="shared" ref="K5059:K5122" si="79">I5059/J5059</f>
        <v>292.00692674220579</v>
      </c>
    </row>
    <row r="5060" spans="1:11" x14ac:dyDescent="0.2">
      <c r="A5060" t="s">
        <v>56</v>
      </c>
      <c r="B5060" t="s">
        <v>968</v>
      </c>
      <c r="C5060" t="s">
        <v>15596</v>
      </c>
      <c r="D5060" t="s">
        <v>15597</v>
      </c>
      <c r="E5060" t="s">
        <v>405</v>
      </c>
      <c r="F5060" t="s">
        <v>24</v>
      </c>
      <c r="G5060" t="s">
        <v>24</v>
      </c>
      <c r="H5060">
        <f>15714*(1.01^10)</f>
        <v>17358.032078711673</v>
      </c>
      <c r="I5060">
        <f>59798*(1.01^10)</f>
        <v>66054.193855339225</v>
      </c>
      <c r="J5060" t="s">
        <v>15598</v>
      </c>
      <c r="K5060">
        <f t="shared" si="79"/>
        <v>320.85960584409872</v>
      </c>
    </row>
    <row r="5061" spans="1:11" x14ac:dyDescent="0.2">
      <c r="A5061" t="s">
        <v>56</v>
      </c>
      <c r="B5061" t="s">
        <v>968</v>
      </c>
      <c r="C5061" t="s">
        <v>15599</v>
      </c>
      <c r="D5061" t="s">
        <v>15600</v>
      </c>
      <c r="E5061" t="s">
        <v>44</v>
      </c>
      <c r="F5061" t="s">
        <v>24</v>
      </c>
      <c r="G5061" t="s">
        <v>24</v>
      </c>
      <c r="H5061">
        <f>14425*(1.01^10)</f>
        <v>15934.174159056629</v>
      </c>
      <c r="I5061">
        <f>53493*(1.01^10)</f>
        <v>59089.551354621573</v>
      </c>
      <c r="J5061" t="s">
        <v>15601</v>
      </c>
      <c r="K5061">
        <f t="shared" si="79"/>
        <v>252.25400715778986</v>
      </c>
    </row>
    <row r="5062" spans="1:11" x14ac:dyDescent="0.2">
      <c r="A5062" t="s">
        <v>56</v>
      </c>
      <c r="B5062" t="s">
        <v>968</v>
      </c>
      <c r="C5062" t="s">
        <v>15602</v>
      </c>
      <c r="D5062" t="s">
        <v>15603</v>
      </c>
      <c r="E5062" t="s">
        <v>44</v>
      </c>
      <c r="F5062" t="s">
        <v>24</v>
      </c>
      <c r="G5062" t="s">
        <v>24</v>
      </c>
      <c r="H5062">
        <f>15205*(1.01^10)</f>
        <v>16795.779416877369</v>
      </c>
      <c r="I5062">
        <f>57197*(1.01^10)</f>
        <v>63181.071707144678</v>
      </c>
      <c r="J5062" t="s">
        <v>15604</v>
      </c>
      <c r="K5062">
        <f t="shared" si="79"/>
        <v>300.14107855608961</v>
      </c>
    </row>
    <row r="5063" spans="1:11" x14ac:dyDescent="0.2">
      <c r="A5063" t="s">
        <v>56</v>
      </c>
      <c r="B5063" t="s">
        <v>968</v>
      </c>
      <c r="C5063" t="s">
        <v>15605</v>
      </c>
      <c r="D5063" t="s">
        <v>15606</v>
      </c>
      <c r="E5063" t="s">
        <v>77</v>
      </c>
      <c r="F5063" t="s">
        <v>24</v>
      </c>
      <c r="G5063" t="s">
        <v>12</v>
      </c>
      <c r="H5063">
        <f>32996*(1.01^10)</f>
        <v>36448.111650068109</v>
      </c>
      <c r="I5063">
        <f>129553*(1.01^10)</f>
        <v>143107.1102133978</v>
      </c>
      <c r="J5063" t="s">
        <v>15607</v>
      </c>
      <c r="K5063">
        <f t="shared" si="79"/>
        <v>510.82410556545045</v>
      </c>
    </row>
    <row r="5064" spans="1:11" x14ac:dyDescent="0.2">
      <c r="A5064" t="s">
        <v>56</v>
      </c>
      <c r="B5064" t="s">
        <v>968</v>
      </c>
      <c r="C5064" t="s">
        <v>15608</v>
      </c>
      <c r="D5064" t="s">
        <v>15609</v>
      </c>
      <c r="E5064" t="s">
        <v>56</v>
      </c>
      <c r="F5064" t="s">
        <v>12</v>
      </c>
      <c r="G5064" t="s">
        <v>24</v>
      </c>
      <c r="H5064">
        <f>24036*(1.01^10)</f>
        <v>26550.697406383719</v>
      </c>
      <c r="I5064">
        <f>84922*(1.01^10)</f>
        <v>93806.720134170333</v>
      </c>
      <c r="J5064" t="s">
        <v>15610</v>
      </c>
      <c r="K5064">
        <f t="shared" si="79"/>
        <v>422.91542535937049</v>
      </c>
    </row>
    <row r="5065" spans="1:11" x14ac:dyDescent="0.2">
      <c r="A5065" t="s">
        <v>56</v>
      </c>
      <c r="B5065" t="s">
        <v>968</v>
      </c>
      <c r="C5065" t="s">
        <v>15611</v>
      </c>
      <c r="D5065" t="s">
        <v>15612</v>
      </c>
      <c r="E5065" t="s">
        <v>1340</v>
      </c>
      <c r="F5065" t="s">
        <v>17</v>
      </c>
      <c r="G5065" t="s">
        <v>24</v>
      </c>
      <c r="H5065">
        <f>17055*(1.01^10)</f>
        <v>18839.330348888096</v>
      </c>
      <c r="I5065">
        <f>62098*(1.01^10)</f>
        <v>68594.824743784993</v>
      </c>
      <c r="J5065" t="s">
        <v>15613</v>
      </c>
      <c r="K5065">
        <f t="shared" si="79"/>
        <v>316.24163943654929</v>
      </c>
    </row>
    <row r="5066" spans="1:11" x14ac:dyDescent="0.2">
      <c r="A5066" t="s">
        <v>56</v>
      </c>
      <c r="B5066" t="s">
        <v>968</v>
      </c>
      <c r="C5066" t="s">
        <v>15614</v>
      </c>
      <c r="D5066" t="s">
        <v>15615</v>
      </c>
      <c r="E5066" t="s">
        <v>77</v>
      </c>
      <c r="F5066" t="s">
        <v>17</v>
      </c>
      <c r="G5066" t="s">
        <v>24</v>
      </c>
      <c r="H5066">
        <f>15666*(1.01^10)</f>
        <v>17305.010216691935</v>
      </c>
      <c r="I5066">
        <f>57693*(1.01^10)</f>
        <v>63728.964281348635</v>
      </c>
      <c r="J5066" t="s">
        <v>15616</v>
      </c>
      <c r="K5066">
        <f t="shared" si="79"/>
        <v>263.90562008271121</v>
      </c>
    </row>
    <row r="5067" spans="1:11" x14ac:dyDescent="0.2">
      <c r="A5067" t="s">
        <v>56</v>
      </c>
      <c r="B5067" t="s">
        <v>968</v>
      </c>
      <c r="C5067" t="s">
        <v>15617</v>
      </c>
      <c r="D5067" t="s">
        <v>15618</v>
      </c>
      <c r="E5067" t="s">
        <v>274</v>
      </c>
      <c r="F5067" t="s">
        <v>12</v>
      </c>
      <c r="G5067" t="s">
        <v>24</v>
      </c>
      <c r="H5067">
        <f>19897*(1.01^10)</f>
        <v>21978.666429306741</v>
      </c>
      <c r="I5067">
        <f>71075*(1.01^10)</f>
        <v>78511.017563601374</v>
      </c>
      <c r="J5067" t="s">
        <v>15619</v>
      </c>
      <c r="K5067">
        <f t="shared" si="79"/>
        <v>415.86093946274377</v>
      </c>
    </row>
    <row r="5068" spans="1:11" x14ac:dyDescent="0.2">
      <c r="A5068" t="s">
        <v>56</v>
      </c>
      <c r="B5068" t="s">
        <v>968</v>
      </c>
      <c r="C5068" t="s">
        <v>15620</v>
      </c>
      <c r="D5068" t="s">
        <v>15621</v>
      </c>
      <c r="E5068" t="s">
        <v>422</v>
      </c>
      <c r="F5068" t="s">
        <v>11</v>
      </c>
      <c r="G5068" t="s">
        <v>24</v>
      </c>
      <c r="H5068">
        <f>16489*(1.01^10)</f>
        <v>18214.114225905356</v>
      </c>
      <c r="I5068">
        <f>59943*(1.01^10)</f>
        <v>66214.364063523841</v>
      </c>
      <c r="J5068" t="s">
        <v>15622</v>
      </c>
      <c r="K5068">
        <f t="shared" si="79"/>
        <v>276.77995813571221</v>
      </c>
    </row>
    <row r="5069" spans="1:11" x14ac:dyDescent="0.2">
      <c r="A5069" t="s">
        <v>56</v>
      </c>
      <c r="B5069" t="s">
        <v>968</v>
      </c>
      <c r="C5069" t="s">
        <v>15623</v>
      </c>
      <c r="D5069" t="s">
        <v>13799</v>
      </c>
      <c r="E5069" t="s">
        <v>458</v>
      </c>
      <c r="F5069" t="s">
        <v>17</v>
      </c>
      <c r="G5069" t="s">
        <v>11</v>
      </c>
      <c r="H5069">
        <f>27827*(1.01^10)</f>
        <v>30738.319883817596</v>
      </c>
      <c r="I5069">
        <f>103559*(1.01^10)</f>
        <v>114393.56268545895</v>
      </c>
      <c r="J5069" t="s">
        <v>15624</v>
      </c>
      <c r="K5069">
        <f t="shared" si="79"/>
        <v>736.81793589841323</v>
      </c>
    </row>
    <row r="5070" spans="1:11" x14ac:dyDescent="0.2">
      <c r="A5070" t="s">
        <v>56</v>
      </c>
      <c r="B5070" t="s">
        <v>968</v>
      </c>
      <c r="C5070" t="s">
        <v>15625</v>
      </c>
      <c r="D5070" t="s">
        <v>15626</v>
      </c>
      <c r="E5070" t="s">
        <v>24</v>
      </c>
      <c r="F5070" t="s">
        <v>24</v>
      </c>
      <c r="G5070" t="s">
        <v>12</v>
      </c>
      <c r="H5070">
        <f>276081*(1.01^10)</f>
        <v>304965.18100565084</v>
      </c>
      <c r="I5070">
        <f>1021806*(1.01^10)</f>
        <v>1128709.5154779216</v>
      </c>
      <c r="J5070" t="s">
        <v>15627</v>
      </c>
      <c r="K5070">
        <f t="shared" si="79"/>
        <v>18909.524467715222</v>
      </c>
    </row>
    <row r="5071" spans="1:11" x14ac:dyDescent="0.2">
      <c r="A5071" t="s">
        <v>56</v>
      </c>
      <c r="B5071" t="s">
        <v>968</v>
      </c>
      <c r="C5071" t="s">
        <v>15628</v>
      </c>
      <c r="D5071" t="s">
        <v>15629</v>
      </c>
      <c r="E5071" t="s">
        <v>6</v>
      </c>
      <c r="F5071" t="s">
        <v>24</v>
      </c>
      <c r="G5071" t="s">
        <v>17</v>
      </c>
      <c r="H5071">
        <f>38138*(1.01^10)</f>
        <v>42128.07861893253</v>
      </c>
      <c r="I5071">
        <f>153591*(1.01^10)</f>
        <v>169660.01686403234</v>
      </c>
      <c r="J5071" t="s">
        <v>15630</v>
      </c>
      <c r="K5071">
        <f t="shared" si="79"/>
        <v>906.84058352494833</v>
      </c>
    </row>
    <row r="5072" spans="1:11" x14ac:dyDescent="0.2">
      <c r="A5072" t="s">
        <v>56</v>
      </c>
      <c r="B5072" t="s">
        <v>968</v>
      </c>
      <c r="C5072" t="s">
        <v>15631</v>
      </c>
      <c r="D5072" t="s">
        <v>15632</v>
      </c>
      <c r="E5072" t="s">
        <v>61</v>
      </c>
      <c r="F5072" t="s">
        <v>17</v>
      </c>
      <c r="G5072" t="s">
        <v>24</v>
      </c>
      <c r="H5072">
        <f>23409*(1.01^10)</f>
        <v>25858.099333750892</v>
      </c>
      <c r="I5072">
        <f>87027*(1.01^10)</f>
        <v>96131.949708160915</v>
      </c>
      <c r="J5072" t="s">
        <v>15633</v>
      </c>
      <c r="K5072">
        <f t="shared" si="79"/>
        <v>472.74494918171155</v>
      </c>
    </row>
    <row r="5073" spans="1:11" x14ac:dyDescent="0.2">
      <c r="A5073" t="s">
        <v>56</v>
      </c>
      <c r="B5073" t="s">
        <v>968</v>
      </c>
      <c r="C5073" t="s">
        <v>15634</v>
      </c>
      <c r="D5073" t="s">
        <v>15484</v>
      </c>
      <c r="E5073" t="s">
        <v>313</v>
      </c>
      <c r="F5073" t="s">
        <v>11</v>
      </c>
      <c r="G5073" t="s">
        <v>24</v>
      </c>
      <c r="H5073">
        <f>15839*(1.01^10)</f>
        <v>17496.109844388073</v>
      </c>
      <c r="I5073">
        <f>54323*(1.01^10)</f>
        <v>60006.387718712875</v>
      </c>
      <c r="J5073" t="s">
        <v>15635</v>
      </c>
      <c r="K5073">
        <f t="shared" si="79"/>
        <v>407.05928380520078</v>
      </c>
    </row>
    <row r="5074" spans="1:11" x14ac:dyDescent="0.2">
      <c r="A5074" t="s">
        <v>56</v>
      </c>
      <c r="B5074" t="s">
        <v>968</v>
      </c>
      <c r="C5074" t="s">
        <v>15636</v>
      </c>
      <c r="D5074" t="s">
        <v>15637</v>
      </c>
      <c r="E5074" t="s">
        <v>796</v>
      </c>
      <c r="F5074" t="s">
        <v>24</v>
      </c>
      <c r="G5074" t="s">
        <v>24</v>
      </c>
      <c r="H5074">
        <f>11247*(1.01^10)</f>
        <v>12423.68504449982</v>
      </c>
      <c r="I5074">
        <f>36924*(1.01^10)</f>
        <v>40787.067358683322</v>
      </c>
      <c r="J5074" t="s">
        <v>15638</v>
      </c>
      <c r="K5074">
        <f t="shared" si="79"/>
        <v>267.59728217216309</v>
      </c>
    </row>
    <row r="5075" spans="1:11" x14ac:dyDescent="0.2">
      <c r="A5075" t="s">
        <v>56</v>
      </c>
      <c r="B5075" t="s">
        <v>968</v>
      </c>
      <c r="C5075" t="s">
        <v>15639</v>
      </c>
      <c r="D5075" t="s">
        <v>15640</v>
      </c>
      <c r="E5075" t="s">
        <v>374</v>
      </c>
      <c r="F5075" t="s">
        <v>24</v>
      </c>
      <c r="G5075" t="s">
        <v>24</v>
      </c>
      <c r="H5075">
        <f>13900*(1.01^10)</f>
        <v>15354.247543215746</v>
      </c>
      <c r="I5075">
        <f>48627*(1.01^10)</f>
        <v>53714.460092370653</v>
      </c>
      <c r="J5075" t="s">
        <v>15641</v>
      </c>
      <c r="K5075">
        <f t="shared" si="79"/>
        <v>304.7577285769255</v>
      </c>
    </row>
    <row r="5076" spans="1:11" x14ac:dyDescent="0.2">
      <c r="A5076" t="s">
        <v>56</v>
      </c>
      <c r="B5076" t="s">
        <v>968</v>
      </c>
      <c r="C5076" t="s">
        <v>15642</v>
      </c>
      <c r="D5076" t="s">
        <v>15643</v>
      </c>
      <c r="E5076" t="s">
        <v>61</v>
      </c>
      <c r="F5076" t="s">
        <v>24</v>
      </c>
      <c r="G5076" t="s">
        <v>24</v>
      </c>
      <c r="H5076">
        <f>21660*(1.01^10)</f>
        <v>23926.115236406695</v>
      </c>
      <c r="I5076">
        <f>77654*(1.01^10)</f>
        <v>85778.326526681689</v>
      </c>
      <c r="J5076" t="s">
        <v>15644</v>
      </c>
      <c r="K5076">
        <f t="shared" si="79"/>
        <v>529.48970365221908</v>
      </c>
    </row>
    <row r="5077" spans="1:11" x14ac:dyDescent="0.2">
      <c r="A5077" t="s">
        <v>56</v>
      </c>
      <c r="B5077" t="s">
        <v>968</v>
      </c>
      <c r="C5077" t="s">
        <v>15645</v>
      </c>
      <c r="D5077" t="s">
        <v>15646</v>
      </c>
      <c r="E5077" t="s">
        <v>318</v>
      </c>
      <c r="F5077" t="s">
        <v>24</v>
      </c>
      <c r="G5077" t="s">
        <v>24</v>
      </c>
      <c r="H5077">
        <f>19894*(1.01^10)</f>
        <v>21975.352562930508</v>
      </c>
      <c r="I5077">
        <f>70729*(1.01^10)</f>
        <v>78128.818308209098</v>
      </c>
      <c r="J5077" t="s">
        <v>15647</v>
      </c>
      <c r="K5077">
        <f t="shared" si="79"/>
        <v>441.41287556604505</v>
      </c>
    </row>
    <row r="5078" spans="1:11" x14ac:dyDescent="0.2">
      <c r="A5078" t="s">
        <v>56</v>
      </c>
      <c r="B5078" t="s">
        <v>968</v>
      </c>
      <c r="C5078" t="s">
        <v>15648</v>
      </c>
      <c r="D5078" t="s">
        <v>15649</v>
      </c>
      <c r="E5078" t="s">
        <v>274</v>
      </c>
      <c r="F5078" t="s">
        <v>24</v>
      </c>
      <c r="G5078" t="s">
        <v>24</v>
      </c>
      <c r="H5078">
        <f>13830*(1.01^10)</f>
        <v>15276.923994436962</v>
      </c>
      <c r="I5078">
        <f>48892*(1.01^10)</f>
        <v>54007.184955604622</v>
      </c>
      <c r="J5078" t="s">
        <v>15650</v>
      </c>
      <c r="K5078">
        <f t="shared" si="79"/>
        <v>292.67355772013099</v>
      </c>
    </row>
    <row r="5079" spans="1:11" x14ac:dyDescent="0.2">
      <c r="A5079" t="s">
        <v>56</v>
      </c>
      <c r="B5079" t="s">
        <v>968</v>
      </c>
      <c r="C5079" t="s">
        <v>15651</v>
      </c>
      <c r="D5079" t="s">
        <v>15652</v>
      </c>
      <c r="E5079" t="s">
        <v>445</v>
      </c>
      <c r="F5079" t="s">
        <v>12</v>
      </c>
      <c r="G5079" t="s">
        <v>24</v>
      </c>
      <c r="H5079">
        <f>13335*(1.01^10)</f>
        <v>14730.136042358416</v>
      </c>
      <c r="I5079">
        <f>46370*(1.01^10)</f>
        <v>51221.327955317567</v>
      </c>
      <c r="J5079" t="s">
        <v>15653</v>
      </c>
      <c r="K5079">
        <f t="shared" si="79"/>
        <v>404.72740862124351</v>
      </c>
    </row>
    <row r="5080" spans="1:11" x14ac:dyDescent="0.2">
      <c r="A5080" t="s">
        <v>56</v>
      </c>
      <c r="B5080" t="s">
        <v>968</v>
      </c>
      <c r="C5080" t="s">
        <v>15654</v>
      </c>
      <c r="D5080" t="s">
        <v>15655</v>
      </c>
      <c r="E5080" t="s">
        <v>103</v>
      </c>
      <c r="F5080" t="s">
        <v>12</v>
      </c>
      <c r="G5080" t="s">
        <v>24</v>
      </c>
      <c r="H5080">
        <f>18741*(1.01^10)</f>
        <v>20701.723252331387</v>
      </c>
      <c r="I5080">
        <f>64377*(1.01^10)</f>
        <v>71112.258567597135</v>
      </c>
      <c r="J5080" t="s">
        <v>15656</v>
      </c>
      <c r="K5080">
        <f t="shared" si="79"/>
        <v>405.34246896118037</v>
      </c>
    </row>
    <row r="5081" spans="1:11" x14ac:dyDescent="0.2">
      <c r="A5081" t="s">
        <v>56</v>
      </c>
      <c r="B5081" t="s">
        <v>968</v>
      </c>
      <c r="C5081" t="s">
        <v>15657</v>
      </c>
      <c r="D5081" t="s">
        <v>15658</v>
      </c>
      <c r="E5081" t="s">
        <v>56</v>
      </c>
      <c r="F5081" t="s">
        <v>12</v>
      </c>
      <c r="G5081" t="s">
        <v>12</v>
      </c>
      <c r="H5081">
        <f>43430*(1.01^10)</f>
        <v>47973.738906608625</v>
      </c>
      <c r="I5081">
        <f>161453*(1.01^10)</f>
        <v>178344.55601401525</v>
      </c>
      <c r="J5081" t="s">
        <v>15659</v>
      </c>
      <c r="K5081">
        <f t="shared" si="79"/>
        <v>1527.2961956142913</v>
      </c>
    </row>
    <row r="5082" spans="1:11" x14ac:dyDescent="0.2">
      <c r="A5082" t="s">
        <v>56</v>
      </c>
      <c r="B5082" t="s">
        <v>968</v>
      </c>
      <c r="C5082" t="s">
        <v>15660</v>
      </c>
      <c r="D5082" t="s">
        <v>15661</v>
      </c>
      <c r="E5082" t="s">
        <v>445</v>
      </c>
      <c r="F5082" t="s">
        <v>24</v>
      </c>
      <c r="G5082" t="s">
        <v>24</v>
      </c>
      <c r="H5082">
        <f>9625*(1.01^10)</f>
        <v>10631.987957082845</v>
      </c>
      <c r="I5082">
        <f>31348*(1.01^10)</f>
        <v>34627.694387390446</v>
      </c>
      <c r="J5082" t="s">
        <v>15662</v>
      </c>
      <c r="K5082">
        <f t="shared" si="79"/>
        <v>382.53318516595215</v>
      </c>
    </row>
    <row r="5083" spans="1:11" x14ac:dyDescent="0.2">
      <c r="A5083" t="s">
        <v>56</v>
      </c>
      <c r="B5083" t="s">
        <v>968</v>
      </c>
      <c r="C5083" t="s">
        <v>15663</v>
      </c>
      <c r="D5083" t="s">
        <v>15664</v>
      </c>
      <c r="E5083" t="s">
        <v>445</v>
      </c>
      <c r="F5083" t="s">
        <v>24</v>
      </c>
      <c r="G5083" t="s">
        <v>12</v>
      </c>
      <c r="H5083">
        <f>18719*(1.01^10)</f>
        <v>20677.421565572342</v>
      </c>
      <c r="I5083">
        <f>69562*(1.01^10)</f>
        <v>76839.724287854231</v>
      </c>
      <c r="J5083" t="s">
        <v>15665</v>
      </c>
      <c r="K5083">
        <f t="shared" si="79"/>
        <v>681.2901927622795</v>
      </c>
    </row>
    <row r="5084" spans="1:11" x14ac:dyDescent="0.2">
      <c r="A5084" t="s">
        <v>56</v>
      </c>
      <c r="B5084" t="s">
        <v>968</v>
      </c>
      <c r="C5084" t="s">
        <v>15666</v>
      </c>
      <c r="D5084" t="s">
        <v>15667</v>
      </c>
      <c r="E5084" t="s">
        <v>5</v>
      </c>
      <c r="F5084" t="s">
        <v>24</v>
      </c>
      <c r="G5084" t="s">
        <v>5</v>
      </c>
      <c r="H5084">
        <f>42789*(1.01^10)</f>
        <v>47265.676124220037</v>
      </c>
      <c r="I5084">
        <f>168022*(1.01^10)</f>
        <v>185600.81875584144</v>
      </c>
      <c r="J5084" t="s">
        <v>15668</v>
      </c>
      <c r="K5084">
        <f t="shared" si="79"/>
        <v>2314.0569502095445</v>
      </c>
    </row>
    <row r="5085" spans="1:11" x14ac:dyDescent="0.2">
      <c r="A5085" t="s">
        <v>56</v>
      </c>
      <c r="B5085" t="s">
        <v>968</v>
      </c>
      <c r="C5085" t="s">
        <v>15669</v>
      </c>
      <c r="D5085" t="s">
        <v>15670</v>
      </c>
      <c r="E5085" t="s">
        <v>44</v>
      </c>
      <c r="F5085" t="s">
        <v>24</v>
      </c>
      <c r="G5085" t="s">
        <v>24</v>
      </c>
      <c r="H5085">
        <f>11781*(1.01^10)</f>
        <v>13013.553259469403</v>
      </c>
      <c r="I5085">
        <f>38641*(1.01^10)</f>
        <v>42683.70354801436</v>
      </c>
      <c r="J5085" t="s">
        <v>15671</v>
      </c>
      <c r="K5085">
        <f t="shared" si="79"/>
        <v>398.05780725230636</v>
      </c>
    </row>
    <row r="5086" spans="1:11" x14ac:dyDescent="0.2">
      <c r="A5086" t="s">
        <v>56</v>
      </c>
      <c r="B5086" t="s">
        <v>968</v>
      </c>
      <c r="C5086" t="s">
        <v>15672</v>
      </c>
      <c r="D5086" t="s">
        <v>15673</v>
      </c>
      <c r="E5086" t="s">
        <v>313</v>
      </c>
      <c r="F5086" t="s">
        <v>12</v>
      </c>
      <c r="G5086" t="s">
        <v>24</v>
      </c>
      <c r="H5086">
        <f>16330*(1.01^10)</f>
        <v>18038.479307964975</v>
      </c>
      <c r="I5086">
        <f>53913*(1.01^10)</f>
        <v>59553.492647294283</v>
      </c>
      <c r="J5086" t="s">
        <v>15674</v>
      </c>
      <c r="K5086">
        <f t="shared" si="79"/>
        <v>500.56176598791166</v>
      </c>
    </row>
    <row r="5087" spans="1:11" x14ac:dyDescent="0.2">
      <c r="A5087" t="s">
        <v>56</v>
      </c>
      <c r="B5087" t="s">
        <v>968</v>
      </c>
      <c r="C5087" t="s">
        <v>15675</v>
      </c>
      <c r="D5087" t="s">
        <v>15676</v>
      </c>
      <c r="E5087" t="s">
        <v>382</v>
      </c>
      <c r="F5087" t="s">
        <v>12</v>
      </c>
      <c r="G5087" t="s">
        <v>24</v>
      </c>
      <c r="H5087">
        <f>21682*(1.01^10)</f>
        <v>23950.41692316574</v>
      </c>
      <c r="I5087">
        <f>76703*(1.01^10)</f>
        <v>84727.830885415635</v>
      </c>
      <c r="J5087" t="s">
        <v>15677</v>
      </c>
      <c r="K5087">
        <f t="shared" si="79"/>
        <v>993.97264287910616</v>
      </c>
    </row>
    <row r="5088" spans="1:11" x14ac:dyDescent="0.2">
      <c r="A5088" t="s">
        <v>56</v>
      </c>
      <c r="B5088" t="s">
        <v>968</v>
      </c>
      <c r="C5088" t="s">
        <v>15678</v>
      </c>
      <c r="D5088" t="s">
        <v>15385</v>
      </c>
      <c r="E5088" t="s">
        <v>77</v>
      </c>
      <c r="F5088" t="s">
        <v>12</v>
      </c>
      <c r="G5088" t="s">
        <v>24</v>
      </c>
      <c r="H5088">
        <f>16256*(1.01^10)</f>
        <v>17956.737270684545</v>
      </c>
      <c r="I5088">
        <f>54634*(1.01^10)</f>
        <v>60349.925199715763</v>
      </c>
      <c r="J5088" t="s">
        <v>15679</v>
      </c>
      <c r="K5088">
        <f t="shared" si="79"/>
        <v>499.17238744856559</v>
      </c>
    </row>
    <row r="5089" spans="1:11" x14ac:dyDescent="0.2">
      <c r="A5089" t="s">
        <v>56</v>
      </c>
      <c r="B5089" t="s">
        <v>968</v>
      </c>
      <c r="C5089" t="s">
        <v>15680</v>
      </c>
      <c r="D5089" t="s">
        <v>15681</v>
      </c>
      <c r="E5089" t="s">
        <v>796</v>
      </c>
      <c r="F5089" t="s">
        <v>17</v>
      </c>
      <c r="G5089" t="s">
        <v>24</v>
      </c>
      <c r="H5089">
        <f>14821*(1.01^10)</f>
        <v>16371.604520719466</v>
      </c>
      <c r="I5089">
        <f>51753*(1.01^10)</f>
        <v>57167.508856406079</v>
      </c>
      <c r="J5089" t="s">
        <v>15682</v>
      </c>
      <c r="K5089">
        <f t="shared" si="79"/>
        <v>457.42226919991452</v>
      </c>
    </row>
    <row r="5090" spans="1:11" x14ac:dyDescent="0.2">
      <c r="A5090" t="s">
        <v>56</v>
      </c>
      <c r="B5090" t="s">
        <v>968</v>
      </c>
      <c r="C5090" t="s">
        <v>15683</v>
      </c>
      <c r="D5090" t="s">
        <v>15684</v>
      </c>
      <c r="E5090" t="s">
        <v>220</v>
      </c>
      <c r="F5090" t="s">
        <v>12</v>
      </c>
      <c r="G5090" t="s">
        <v>12</v>
      </c>
      <c r="H5090">
        <f>18916*(1.01^10)</f>
        <v>20895.03212427835</v>
      </c>
      <c r="I5090">
        <f>65657*(1.01^10)</f>
        <v>72526.174888123467</v>
      </c>
      <c r="J5090" t="s">
        <v>15685</v>
      </c>
      <c r="K5090">
        <f t="shared" si="79"/>
        <v>514.28695446927907</v>
      </c>
    </row>
    <row r="5091" spans="1:11" x14ac:dyDescent="0.2">
      <c r="A5091" t="s">
        <v>56</v>
      </c>
      <c r="B5091" t="s">
        <v>968</v>
      </c>
      <c r="C5091" t="s">
        <v>15686</v>
      </c>
      <c r="D5091" t="s">
        <v>15687</v>
      </c>
      <c r="E5091" t="s">
        <v>77</v>
      </c>
      <c r="F5091" t="s">
        <v>24</v>
      </c>
      <c r="G5091" t="s">
        <v>24</v>
      </c>
      <c r="H5091">
        <f>14310*(1.01^10)</f>
        <v>15807.14261463434</v>
      </c>
      <c r="I5091">
        <f>49228*(1.01^10)</f>
        <v>54378.337989742788</v>
      </c>
      <c r="J5091" t="s">
        <v>15688</v>
      </c>
      <c r="K5091">
        <f t="shared" si="79"/>
        <v>426.78502073307322</v>
      </c>
    </row>
    <row r="5092" spans="1:11" x14ac:dyDescent="0.2">
      <c r="A5092" t="s">
        <v>56</v>
      </c>
      <c r="B5092" t="s">
        <v>968</v>
      </c>
      <c r="C5092" t="s">
        <v>15689</v>
      </c>
      <c r="D5092" t="s">
        <v>15690</v>
      </c>
      <c r="E5092" t="s">
        <v>411</v>
      </c>
      <c r="F5092" t="s">
        <v>24</v>
      </c>
      <c r="G5092" t="s">
        <v>24</v>
      </c>
      <c r="H5092">
        <f>16108*(1.01^10)</f>
        <v>17793.253196123685</v>
      </c>
      <c r="I5092">
        <f>52974*(1.01^10)</f>
        <v>58516.25247153316</v>
      </c>
      <c r="J5092" t="s">
        <v>15691</v>
      </c>
      <c r="K5092">
        <f t="shared" si="79"/>
        <v>411.63897955422539</v>
      </c>
    </row>
    <row r="5093" spans="1:11" x14ac:dyDescent="0.2">
      <c r="A5093" t="s">
        <v>56</v>
      </c>
      <c r="B5093" t="s">
        <v>968</v>
      </c>
      <c r="C5093" t="s">
        <v>15692</v>
      </c>
      <c r="D5093" t="s">
        <v>15693</v>
      </c>
      <c r="E5093" t="s">
        <v>422</v>
      </c>
      <c r="F5093" t="s">
        <v>12</v>
      </c>
      <c r="G5093" t="s">
        <v>24</v>
      </c>
      <c r="H5093">
        <f>12946*(1.01^10)</f>
        <v>14300.438035573457</v>
      </c>
      <c r="I5093">
        <f>40098*(1.01^10)</f>
        <v>44293.137984738489</v>
      </c>
      <c r="J5093" t="s">
        <v>15694</v>
      </c>
      <c r="K5093">
        <f t="shared" si="79"/>
        <v>376.94558646942443</v>
      </c>
    </row>
    <row r="5094" spans="1:11" x14ac:dyDescent="0.2">
      <c r="A5094" t="s">
        <v>56</v>
      </c>
      <c r="B5094" t="s">
        <v>968</v>
      </c>
      <c r="C5094" t="s">
        <v>15695</v>
      </c>
      <c r="D5094" t="s">
        <v>15696</v>
      </c>
      <c r="E5094" t="s">
        <v>56</v>
      </c>
      <c r="F5094" t="s">
        <v>24</v>
      </c>
      <c r="G5094" t="s">
        <v>12</v>
      </c>
      <c r="H5094">
        <f>66191*(1.01^10)</f>
        <v>73116.043103093049</v>
      </c>
      <c r="I5094">
        <f>238962*(1.01^10)</f>
        <v>263962.71233251231</v>
      </c>
      <c r="J5094" t="s">
        <v>15697</v>
      </c>
      <c r="K5094">
        <f t="shared" si="79"/>
        <v>651.29322334361268</v>
      </c>
    </row>
    <row r="5095" spans="1:11" x14ac:dyDescent="0.2">
      <c r="A5095" t="s">
        <v>56</v>
      </c>
      <c r="B5095" t="s">
        <v>968</v>
      </c>
      <c r="C5095" t="s">
        <v>15698</v>
      </c>
      <c r="D5095" t="s">
        <v>15699</v>
      </c>
      <c r="E5095" t="s">
        <v>108</v>
      </c>
      <c r="F5095" t="s">
        <v>12</v>
      </c>
      <c r="G5095" t="s">
        <v>24</v>
      </c>
      <c r="H5095">
        <f>16430*(1.01^10)</f>
        <v>18148.941520506094</v>
      </c>
      <c r="I5095">
        <f>53540*(1.01^10)</f>
        <v>59141.4685945159</v>
      </c>
      <c r="J5095" t="s">
        <v>15700</v>
      </c>
      <c r="K5095">
        <f t="shared" si="79"/>
        <v>634.47482377159042</v>
      </c>
    </row>
    <row r="5096" spans="1:11" x14ac:dyDescent="0.2">
      <c r="A5096" t="s">
        <v>56</v>
      </c>
      <c r="B5096" t="s">
        <v>968</v>
      </c>
      <c r="C5096" t="s">
        <v>15701</v>
      </c>
      <c r="D5096" t="s">
        <v>15702</v>
      </c>
      <c r="E5096" t="s">
        <v>411</v>
      </c>
      <c r="F5096" t="s">
        <v>24</v>
      </c>
      <c r="G5096" t="s">
        <v>24</v>
      </c>
      <c r="H5096">
        <f>10761*(1.01^10)</f>
        <v>11886.838691549974</v>
      </c>
      <c r="I5096">
        <f>35967*(1.01^10)</f>
        <v>39729.943984664802</v>
      </c>
      <c r="J5096" t="s">
        <v>15703</v>
      </c>
      <c r="K5096">
        <f t="shared" si="79"/>
        <v>467.6521799243834</v>
      </c>
    </row>
    <row r="5097" spans="1:11" x14ac:dyDescent="0.2">
      <c r="A5097" t="s">
        <v>56</v>
      </c>
      <c r="B5097" t="s">
        <v>968</v>
      </c>
      <c r="C5097" t="s">
        <v>15704</v>
      </c>
      <c r="D5097" t="s">
        <v>15705</v>
      </c>
      <c r="E5097" t="s">
        <v>6</v>
      </c>
      <c r="F5097" t="s">
        <v>24</v>
      </c>
      <c r="G5097" t="s">
        <v>24</v>
      </c>
      <c r="H5097">
        <f>11954*(1.01^10)</f>
        <v>13204.652887165541</v>
      </c>
      <c r="I5097">
        <f>40986*(1.01^10)</f>
        <v>45274.042432103641</v>
      </c>
      <c r="J5097" t="s">
        <v>15706</v>
      </c>
      <c r="K5097">
        <f t="shared" si="79"/>
        <v>605.65609912233822</v>
      </c>
    </row>
    <row r="5098" spans="1:11" x14ac:dyDescent="0.2">
      <c r="A5098" t="s">
        <v>56</v>
      </c>
      <c r="B5098" t="s">
        <v>968</v>
      </c>
      <c r="C5098" t="s">
        <v>15707</v>
      </c>
      <c r="D5098" t="s">
        <v>15708</v>
      </c>
      <c r="E5098" t="s">
        <v>108</v>
      </c>
      <c r="F5098" t="s">
        <v>24</v>
      </c>
      <c r="G5098" t="s">
        <v>24</v>
      </c>
      <c r="H5098">
        <f>14680*(1.01^10)</f>
        <v>16215.852801036486</v>
      </c>
      <c r="I5098">
        <f>47899*(1.01^10)</f>
        <v>52910.2951850713</v>
      </c>
      <c r="J5098" t="s">
        <v>15709</v>
      </c>
      <c r="K5098">
        <f t="shared" si="79"/>
        <v>126.71503276597788</v>
      </c>
    </row>
    <row r="5099" spans="1:11" x14ac:dyDescent="0.2">
      <c r="A5099" t="s">
        <v>56</v>
      </c>
      <c r="B5099" t="s">
        <v>968</v>
      </c>
      <c r="C5099" t="s">
        <v>15710</v>
      </c>
      <c r="D5099" t="s">
        <v>15711</v>
      </c>
      <c r="E5099" t="s">
        <v>744</v>
      </c>
      <c r="F5099" t="s">
        <v>24</v>
      </c>
      <c r="G5099" t="s">
        <v>24</v>
      </c>
      <c r="H5099">
        <f>13684*(1.01^10)</f>
        <v>15115.649164126926</v>
      </c>
      <c r="I5099">
        <f>45281*(1.01^10)</f>
        <v>50018.394460744763</v>
      </c>
      <c r="J5099" t="s">
        <v>15712</v>
      </c>
      <c r="K5099">
        <f t="shared" si="79"/>
        <v>231.03332966909176</v>
      </c>
    </row>
    <row r="5100" spans="1:11" x14ac:dyDescent="0.2">
      <c r="A5100" t="s">
        <v>56</v>
      </c>
      <c r="B5100" t="s">
        <v>3068</v>
      </c>
      <c r="C5100" t="s">
        <v>15713</v>
      </c>
      <c r="D5100" t="s">
        <v>15714</v>
      </c>
      <c r="E5100" t="s">
        <v>108</v>
      </c>
      <c r="F5100" t="s">
        <v>12</v>
      </c>
      <c r="G5100" t="s">
        <v>12</v>
      </c>
      <c r="H5100">
        <f>28413*(1.01^10)</f>
        <v>31385.628449308562</v>
      </c>
      <c r="I5100">
        <f>113048*(1.01^10)</f>
        <v>124875.32203348588</v>
      </c>
      <c r="J5100" t="s">
        <v>15715</v>
      </c>
      <c r="K5100">
        <f t="shared" si="79"/>
        <v>412.23767653599862</v>
      </c>
    </row>
    <row r="5101" spans="1:11" x14ac:dyDescent="0.2">
      <c r="A5101" t="s">
        <v>56</v>
      </c>
      <c r="B5101" t="s">
        <v>3068</v>
      </c>
      <c r="C5101" t="s">
        <v>15716</v>
      </c>
      <c r="D5101" t="s">
        <v>15717</v>
      </c>
      <c r="E5101" t="s">
        <v>744</v>
      </c>
      <c r="F5101" t="s">
        <v>24</v>
      </c>
      <c r="G5101" t="s">
        <v>24</v>
      </c>
      <c r="H5101">
        <f>12166*(1.01^10)</f>
        <v>13438.832777752717</v>
      </c>
      <c r="I5101">
        <f>49054*(1.01^10)</f>
        <v>54186.133739921235</v>
      </c>
      <c r="J5101" t="s">
        <v>15718</v>
      </c>
      <c r="K5101">
        <f t="shared" si="79"/>
        <v>102.69138032051177</v>
      </c>
    </row>
    <row r="5102" spans="1:11" x14ac:dyDescent="0.2">
      <c r="A5102" t="s">
        <v>56</v>
      </c>
      <c r="B5102" t="s">
        <v>3068</v>
      </c>
      <c r="C5102" t="s">
        <v>15719</v>
      </c>
      <c r="D5102" t="s">
        <v>15720</v>
      </c>
      <c r="E5102" t="s">
        <v>405</v>
      </c>
      <c r="F5102" t="s">
        <v>24</v>
      </c>
      <c r="G5102" t="s">
        <v>24</v>
      </c>
      <c r="H5102">
        <f>12529*(1.01^10)</f>
        <v>13839.810609276985</v>
      </c>
      <c r="I5102">
        <f>49059*(1.01^10)</f>
        <v>54191.656850548294</v>
      </c>
      <c r="J5102" t="s">
        <v>751</v>
      </c>
      <c r="K5102">
        <f t="shared" si="79"/>
        <v>121.23413165670759</v>
      </c>
    </row>
    <row r="5103" spans="1:11" x14ac:dyDescent="0.2">
      <c r="A5103" t="s">
        <v>56</v>
      </c>
      <c r="B5103" t="s">
        <v>3068</v>
      </c>
      <c r="C5103" t="s">
        <v>15721</v>
      </c>
      <c r="D5103" t="s">
        <v>15722</v>
      </c>
      <c r="E5103" t="s">
        <v>744</v>
      </c>
      <c r="F5103" t="s">
        <v>12</v>
      </c>
      <c r="G5103" t="s">
        <v>24</v>
      </c>
      <c r="H5103">
        <f>12990*(1.01^10)</f>
        <v>14349.041409091549</v>
      </c>
      <c r="I5103">
        <f>49827*(1.01^10)</f>
        <v>55040.0066428641</v>
      </c>
      <c r="J5103" t="s">
        <v>15723</v>
      </c>
      <c r="K5103">
        <f t="shared" si="79"/>
        <v>277.72167216549883</v>
      </c>
    </row>
    <row r="5104" spans="1:11" x14ac:dyDescent="0.2">
      <c r="A5104" t="s">
        <v>56</v>
      </c>
      <c r="B5104" t="s">
        <v>3068</v>
      </c>
      <c r="C5104" t="s">
        <v>15724</v>
      </c>
      <c r="D5104" t="s">
        <v>15725</v>
      </c>
      <c r="E5104" t="s">
        <v>405</v>
      </c>
      <c r="F5104" t="s">
        <v>24</v>
      </c>
      <c r="G5104" t="s">
        <v>24</v>
      </c>
      <c r="H5104">
        <f>17372*(1.01^10)</f>
        <v>19189.495562643449</v>
      </c>
      <c r="I5104">
        <f>66070*(1.01^10)</f>
        <v>72982.383825918296</v>
      </c>
      <c r="J5104" t="s">
        <v>15726</v>
      </c>
      <c r="K5104">
        <f t="shared" si="79"/>
        <v>279.34249017116065</v>
      </c>
    </row>
    <row r="5105" spans="1:11" x14ac:dyDescent="0.2">
      <c r="A5105" t="s">
        <v>56</v>
      </c>
      <c r="B5105" t="s">
        <v>3068</v>
      </c>
      <c r="C5105" t="s">
        <v>15727</v>
      </c>
      <c r="D5105" t="s">
        <v>15728</v>
      </c>
      <c r="E5105" t="s">
        <v>382</v>
      </c>
      <c r="F5105" t="s">
        <v>24</v>
      </c>
      <c r="G5105" t="s">
        <v>24</v>
      </c>
      <c r="H5105">
        <f>19468*(1.01^10)</f>
        <v>21504.783537505333</v>
      </c>
      <c r="I5105">
        <f>75233*(1.01^10)</f>
        <v>83104.036361061168</v>
      </c>
      <c r="J5105" t="s">
        <v>15729</v>
      </c>
      <c r="K5105">
        <f t="shared" si="79"/>
        <v>290.57653715505398</v>
      </c>
    </row>
    <row r="5106" spans="1:11" x14ac:dyDescent="0.2">
      <c r="A5106" t="s">
        <v>56</v>
      </c>
      <c r="B5106" t="s">
        <v>3068</v>
      </c>
      <c r="C5106" t="s">
        <v>15730</v>
      </c>
      <c r="D5106" t="s">
        <v>15731</v>
      </c>
      <c r="E5106" t="s">
        <v>108</v>
      </c>
      <c r="F5106" t="s">
        <v>12</v>
      </c>
      <c r="G5106" t="s">
        <v>24</v>
      </c>
      <c r="H5106">
        <f>13839*(1.01^10)</f>
        <v>15286.865593565662</v>
      </c>
      <c r="I5106">
        <f>52367*(1.01^10)</f>
        <v>57845.74684140856</v>
      </c>
      <c r="J5106" t="s">
        <v>15732</v>
      </c>
      <c r="K5106">
        <f t="shared" si="79"/>
        <v>261.13358473654012</v>
      </c>
    </row>
    <row r="5107" spans="1:11" x14ac:dyDescent="0.2">
      <c r="A5107" t="s">
        <v>56</v>
      </c>
      <c r="B5107" t="s">
        <v>3068</v>
      </c>
      <c r="C5107" t="s">
        <v>15733</v>
      </c>
      <c r="D5107" t="s">
        <v>15734</v>
      </c>
      <c r="E5107" t="s">
        <v>744</v>
      </c>
      <c r="F5107" t="s">
        <v>24</v>
      </c>
      <c r="G5107" t="s">
        <v>12</v>
      </c>
      <c r="H5107">
        <f>30783*(1.01^10)</f>
        <v>34003.582886533113</v>
      </c>
      <c r="I5107">
        <f>122319*(1.01^10)</f>
        <v>135116.27375817316</v>
      </c>
      <c r="J5107" t="s">
        <v>15735</v>
      </c>
      <c r="K5107">
        <f t="shared" si="79"/>
        <v>517.0004229453067</v>
      </c>
    </row>
    <row r="5108" spans="1:11" x14ac:dyDescent="0.2">
      <c r="A5108" t="s">
        <v>56</v>
      </c>
      <c r="B5108" t="s">
        <v>3068</v>
      </c>
      <c r="C5108" t="s">
        <v>15736</v>
      </c>
      <c r="D5108" t="s">
        <v>15737</v>
      </c>
      <c r="E5108" t="s">
        <v>744</v>
      </c>
      <c r="F5108" t="s">
        <v>24</v>
      </c>
      <c r="G5108" t="s">
        <v>24</v>
      </c>
      <c r="H5108">
        <f>13467*(1.01^10)</f>
        <v>14875.946162912694</v>
      </c>
      <c r="I5108">
        <f>52469*(1.01^10)</f>
        <v>57958.4182982005</v>
      </c>
      <c r="J5108" t="s">
        <v>15738</v>
      </c>
      <c r="K5108">
        <f t="shared" si="79"/>
        <v>290.10164136551953</v>
      </c>
    </row>
    <row r="5109" spans="1:11" x14ac:dyDescent="0.2">
      <c r="A5109" t="s">
        <v>56</v>
      </c>
      <c r="B5109" t="s">
        <v>3068</v>
      </c>
      <c r="C5109" t="s">
        <v>15739</v>
      </c>
      <c r="D5109" t="s">
        <v>15740</v>
      </c>
      <c r="E5109" t="s">
        <v>458</v>
      </c>
      <c r="F5109" t="s">
        <v>24</v>
      </c>
      <c r="G5109" t="s">
        <v>24</v>
      </c>
      <c r="H5109">
        <f>9568*(1.01^10)</f>
        <v>10569.024495934407</v>
      </c>
      <c r="I5109">
        <f>38455*(1.01^10)</f>
        <v>42478.243832687876</v>
      </c>
      <c r="J5109" t="s">
        <v>15741</v>
      </c>
      <c r="K5109">
        <f t="shared" si="79"/>
        <v>118.81724185299143</v>
      </c>
    </row>
    <row r="5110" spans="1:11" x14ac:dyDescent="0.2">
      <c r="A5110" t="s">
        <v>56</v>
      </c>
      <c r="B5110" t="s">
        <v>3068</v>
      </c>
      <c r="C5110" t="s">
        <v>15742</v>
      </c>
      <c r="D5110" t="s">
        <v>15743</v>
      </c>
      <c r="E5110" t="s">
        <v>445</v>
      </c>
      <c r="F5110" t="s">
        <v>24</v>
      </c>
      <c r="G5110" t="s">
        <v>24</v>
      </c>
      <c r="H5110">
        <f>15068*(1.01^10)</f>
        <v>16644.446185696033</v>
      </c>
      <c r="I5110">
        <f>58447*(1.01^10)</f>
        <v>64561.849363908681</v>
      </c>
      <c r="J5110" t="s">
        <v>15744</v>
      </c>
      <c r="K5110">
        <f t="shared" si="79"/>
        <v>305.3093842208865</v>
      </c>
    </row>
    <row r="5111" spans="1:11" x14ac:dyDescent="0.2">
      <c r="A5111" t="s">
        <v>56</v>
      </c>
      <c r="B5111" t="s">
        <v>3068</v>
      </c>
      <c r="C5111" t="s">
        <v>15745</v>
      </c>
      <c r="D5111" t="s">
        <v>15746</v>
      </c>
      <c r="E5111" t="s">
        <v>274</v>
      </c>
      <c r="F5111" t="s">
        <v>24</v>
      </c>
      <c r="G5111" t="s">
        <v>24</v>
      </c>
      <c r="H5111">
        <f>14697*(1.01^10)</f>
        <v>16234.631377168476</v>
      </c>
      <c r="I5111">
        <f>56308*(1.01^10)</f>
        <v>62199.062637654119</v>
      </c>
      <c r="J5111" t="s">
        <v>15747</v>
      </c>
      <c r="K5111">
        <f t="shared" si="79"/>
        <v>380.42286118533258</v>
      </c>
    </row>
    <row r="5112" spans="1:11" x14ac:dyDescent="0.2">
      <c r="A5112" t="s">
        <v>56</v>
      </c>
      <c r="B5112" t="s">
        <v>3068</v>
      </c>
      <c r="C5112" t="s">
        <v>15748</v>
      </c>
      <c r="D5112" t="s">
        <v>15749</v>
      </c>
      <c r="E5112" t="s">
        <v>44</v>
      </c>
      <c r="F5112" t="s">
        <v>12</v>
      </c>
      <c r="G5112" t="s">
        <v>24</v>
      </c>
      <c r="H5112">
        <f>17502*(1.01^10)</f>
        <v>19333.096438946905</v>
      </c>
      <c r="I5112">
        <f>66277*(1.01^10)</f>
        <v>73211.040605878414</v>
      </c>
      <c r="J5112" t="s">
        <v>15750</v>
      </c>
      <c r="K5112">
        <f t="shared" si="79"/>
        <v>344.38237755637323</v>
      </c>
    </row>
    <row r="5113" spans="1:11" x14ac:dyDescent="0.2">
      <c r="A5113" t="s">
        <v>56</v>
      </c>
      <c r="B5113" t="s">
        <v>3068</v>
      </c>
      <c r="C5113" t="s">
        <v>15751</v>
      </c>
      <c r="D5113" t="s">
        <v>15752</v>
      </c>
      <c r="E5113" t="s">
        <v>422</v>
      </c>
      <c r="F5113" t="s">
        <v>12</v>
      </c>
      <c r="G5113" t="s">
        <v>24</v>
      </c>
      <c r="H5113">
        <f>15505*(1.01^10)</f>
        <v>17127.166054500729</v>
      </c>
      <c r="I5113">
        <f>54081*(1.01^10)</f>
        <v>59739.069164363362</v>
      </c>
      <c r="J5113" t="s">
        <v>15753</v>
      </c>
      <c r="K5113">
        <f t="shared" si="79"/>
        <v>322.44002908899671</v>
      </c>
    </row>
    <row r="5114" spans="1:11" x14ac:dyDescent="0.2">
      <c r="A5114" t="s">
        <v>56</v>
      </c>
      <c r="B5114" t="s">
        <v>3068</v>
      </c>
      <c r="C5114" t="s">
        <v>15754</v>
      </c>
      <c r="D5114" t="s">
        <v>15755</v>
      </c>
      <c r="E5114" t="s">
        <v>158</v>
      </c>
      <c r="F5114" t="s">
        <v>24</v>
      </c>
      <c r="G5114" t="s">
        <v>17</v>
      </c>
      <c r="H5114">
        <f>26618*(1.01^10)</f>
        <v>29402.831734195446</v>
      </c>
      <c r="I5114">
        <f>99428*(1.01^10)</f>
        <v>109830.36868538527</v>
      </c>
      <c r="J5114" t="s">
        <v>15756</v>
      </c>
      <c r="K5114">
        <f t="shared" si="79"/>
        <v>1503.0074601944543</v>
      </c>
    </row>
    <row r="5115" spans="1:11" x14ac:dyDescent="0.2">
      <c r="A5115" t="s">
        <v>56</v>
      </c>
      <c r="B5115" t="s">
        <v>3068</v>
      </c>
      <c r="C5115" t="s">
        <v>15757</v>
      </c>
      <c r="D5115" t="s">
        <v>15758</v>
      </c>
      <c r="E5115" t="s">
        <v>744</v>
      </c>
      <c r="F5115" t="s">
        <v>24</v>
      </c>
      <c r="G5115" t="s">
        <v>12</v>
      </c>
      <c r="H5115">
        <f>42639*(1.01^10)</f>
        <v>47099.982805408363</v>
      </c>
      <c r="I5115">
        <f>160303*(1.01^10)</f>
        <v>177074.24056979237</v>
      </c>
      <c r="J5115" t="s">
        <v>15759</v>
      </c>
      <c r="K5115">
        <f t="shared" si="79"/>
        <v>1254.0939366690268</v>
      </c>
    </row>
    <row r="5116" spans="1:11" x14ac:dyDescent="0.2">
      <c r="A5116" t="s">
        <v>56</v>
      </c>
      <c r="B5116" t="s">
        <v>3068</v>
      </c>
      <c r="C5116" t="s">
        <v>15760</v>
      </c>
      <c r="D5116" t="s">
        <v>15761</v>
      </c>
      <c r="E5116" t="s">
        <v>382</v>
      </c>
      <c r="F5116" t="s">
        <v>24</v>
      </c>
      <c r="G5116" t="s">
        <v>24</v>
      </c>
      <c r="H5116">
        <f>18838*(1.01^10)</f>
        <v>20808.871598496276</v>
      </c>
      <c r="I5116">
        <f>67962*(1.01^10)</f>
        <v>75072.328887196301</v>
      </c>
      <c r="J5116" t="s">
        <v>15762</v>
      </c>
      <c r="K5116">
        <f t="shared" si="79"/>
        <v>401.61641070113296</v>
      </c>
    </row>
    <row r="5117" spans="1:11" x14ac:dyDescent="0.2">
      <c r="A5117" t="s">
        <v>56</v>
      </c>
      <c r="B5117" t="s">
        <v>3068</v>
      </c>
      <c r="C5117" t="s">
        <v>15763</v>
      </c>
      <c r="D5117" t="s">
        <v>15764</v>
      </c>
      <c r="E5117" t="s">
        <v>318</v>
      </c>
      <c r="F5117" t="s">
        <v>24</v>
      </c>
      <c r="G5117" t="s">
        <v>24</v>
      </c>
      <c r="H5117">
        <f>13385*(1.01^10)</f>
        <v>14785.367148628975</v>
      </c>
      <c r="I5117">
        <f>50030*(1.01^10)</f>
        <v>55264.244934322574</v>
      </c>
      <c r="J5117" t="s">
        <v>15765</v>
      </c>
      <c r="K5117">
        <f t="shared" si="79"/>
        <v>396.12324469100008</v>
      </c>
    </row>
    <row r="5118" spans="1:11" x14ac:dyDescent="0.2">
      <c r="A5118" t="s">
        <v>56</v>
      </c>
      <c r="B5118" t="s">
        <v>3068</v>
      </c>
      <c r="C5118" t="s">
        <v>15766</v>
      </c>
      <c r="D5118" t="s">
        <v>15767</v>
      </c>
      <c r="E5118" t="s">
        <v>411</v>
      </c>
      <c r="F5118" t="s">
        <v>24</v>
      </c>
      <c r="G5118" t="s">
        <v>12</v>
      </c>
      <c r="H5118">
        <f>34030*(1.01^10)</f>
        <v>37590.290927743299</v>
      </c>
      <c r="I5118">
        <f>130608*(1.01^10)</f>
        <v>144272.48655570662</v>
      </c>
      <c r="J5118" t="s">
        <v>15768</v>
      </c>
      <c r="K5118">
        <f t="shared" si="79"/>
        <v>608.21501617028287</v>
      </c>
    </row>
    <row r="5119" spans="1:11" x14ac:dyDescent="0.2">
      <c r="A5119" t="s">
        <v>56</v>
      </c>
      <c r="B5119" t="s">
        <v>3068</v>
      </c>
      <c r="C5119" t="s">
        <v>15769</v>
      </c>
      <c r="D5119" t="s">
        <v>15770</v>
      </c>
      <c r="E5119" t="s">
        <v>152</v>
      </c>
      <c r="F5119" t="s">
        <v>24</v>
      </c>
      <c r="G5119" t="s">
        <v>24</v>
      </c>
      <c r="H5119">
        <f>11602*(1.01^10)</f>
        <v>12815.825899020798</v>
      </c>
      <c r="I5119">
        <f>45213*(1.01^10)</f>
        <v>49943.280156216802</v>
      </c>
      <c r="J5119" t="s">
        <v>15771</v>
      </c>
      <c r="K5119">
        <f t="shared" si="79"/>
        <v>301.90165057372462</v>
      </c>
    </row>
    <row r="5120" spans="1:11" x14ac:dyDescent="0.2">
      <c r="A5120" t="s">
        <v>56</v>
      </c>
      <c r="B5120" t="s">
        <v>3068</v>
      </c>
      <c r="C5120" t="s">
        <v>15772</v>
      </c>
      <c r="D5120" t="s">
        <v>15773</v>
      </c>
      <c r="E5120" t="s">
        <v>405</v>
      </c>
      <c r="F5120" t="s">
        <v>24</v>
      </c>
      <c r="G5120" t="s">
        <v>24</v>
      </c>
      <c r="H5120">
        <f>16578*(1.01^10)</f>
        <v>18312.425595066954</v>
      </c>
      <c r="I5120">
        <f>63349*(1.01^10)</f>
        <v>69976.707022674411</v>
      </c>
      <c r="J5120" t="s">
        <v>15774</v>
      </c>
      <c r="K5120">
        <f t="shared" si="79"/>
        <v>278.15091542871022</v>
      </c>
    </row>
    <row r="5121" spans="1:11" x14ac:dyDescent="0.2">
      <c r="A5121" t="s">
        <v>56</v>
      </c>
      <c r="B5121" t="s">
        <v>3068</v>
      </c>
      <c r="C5121" t="s">
        <v>15775</v>
      </c>
      <c r="D5121" t="s">
        <v>15776</v>
      </c>
      <c r="E5121" t="s">
        <v>318</v>
      </c>
      <c r="F5121" t="s">
        <v>24</v>
      </c>
      <c r="G5121" t="s">
        <v>24</v>
      </c>
      <c r="H5121">
        <f>14764*(1.01^10)</f>
        <v>16308.641059571028</v>
      </c>
      <c r="I5121">
        <f>58086*(1.01^10)</f>
        <v>64163.080776635237</v>
      </c>
      <c r="J5121" t="s">
        <v>15777</v>
      </c>
      <c r="K5121">
        <f t="shared" si="79"/>
        <v>90.782134495870892</v>
      </c>
    </row>
    <row r="5122" spans="1:11" x14ac:dyDescent="0.2">
      <c r="A5122" t="s">
        <v>56</v>
      </c>
      <c r="B5122" t="s">
        <v>3068</v>
      </c>
      <c r="C5122" t="s">
        <v>15778</v>
      </c>
      <c r="D5122" t="s">
        <v>15779</v>
      </c>
      <c r="E5122" t="s">
        <v>1340</v>
      </c>
      <c r="F5122" t="s">
        <v>12</v>
      </c>
      <c r="G5122" t="s">
        <v>12</v>
      </c>
      <c r="H5122">
        <f>27936*(1.01^10)</f>
        <v>30858.723695487417</v>
      </c>
      <c r="I5122">
        <f>112498*(1.01^10)</f>
        <v>124267.77986450971</v>
      </c>
      <c r="J5122" t="s">
        <v>15780</v>
      </c>
      <c r="K5122">
        <f t="shared" si="79"/>
        <v>441.63154863935614</v>
      </c>
    </row>
    <row r="5123" spans="1:11" x14ac:dyDescent="0.2">
      <c r="A5123" t="s">
        <v>56</v>
      </c>
      <c r="B5123" t="s">
        <v>3068</v>
      </c>
      <c r="C5123" t="s">
        <v>15781</v>
      </c>
      <c r="D5123" t="s">
        <v>15782</v>
      </c>
      <c r="E5123" t="s">
        <v>422</v>
      </c>
      <c r="F5123" t="s">
        <v>24</v>
      </c>
      <c r="G5123" t="s">
        <v>24</v>
      </c>
      <c r="H5123">
        <f>13490*(1.01^10)</f>
        <v>14901.352471797152</v>
      </c>
      <c r="I5123">
        <f>52853*(1.01^10)</f>
        <v>58382.593194358407</v>
      </c>
      <c r="J5123" t="s">
        <v>15783</v>
      </c>
      <c r="K5123">
        <f t="shared" ref="K5123:K5186" si="80">I5123/J5123</f>
        <v>165.17126237491968</v>
      </c>
    </row>
    <row r="5124" spans="1:11" x14ac:dyDescent="0.2">
      <c r="A5124" t="s">
        <v>56</v>
      </c>
      <c r="B5124" t="s">
        <v>3068</v>
      </c>
      <c r="C5124" t="s">
        <v>15784</v>
      </c>
      <c r="D5124" t="s">
        <v>15785</v>
      </c>
      <c r="E5124" t="s">
        <v>6</v>
      </c>
      <c r="F5124" t="s">
        <v>24</v>
      </c>
      <c r="G5124" t="s">
        <v>24</v>
      </c>
      <c r="H5124">
        <f>9953*(1.01^10)</f>
        <v>10994.304014217721</v>
      </c>
      <c r="I5124">
        <f>37994*(1.01^10)</f>
        <v>41969.013032873314</v>
      </c>
      <c r="J5124" t="s">
        <v>15786</v>
      </c>
      <c r="K5124">
        <f t="shared" si="80"/>
        <v>284.70328140401438</v>
      </c>
    </row>
    <row r="5125" spans="1:11" x14ac:dyDescent="0.2">
      <c r="A5125" t="s">
        <v>56</v>
      </c>
      <c r="B5125" t="s">
        <v>3068</v>
      </c>
      <c r="C5125" t="s">
        <v>15787</v>
      </c>
      <c r="D5125" t="s">
        <v>15788</v>
      </c>
      <c r="E5125" t="s">
        <v>458</v>
      </c>
      <c r="F5125" t="s">
        <v>24</v>
      </c>
      <c r="G5125" t="s">
        <v>24</v>
      </c>
      <c r="H5125">
        <f>11956*(1.01^10)</f>
        <v>13206.862131416365</v>
      </c>
      <c r="I5125">
        <f>46714*(1.01^10)</f>
        <v>51601.317966459021</v>
      </c>
      <c r="J5125" t="s">
        <v>15789</v>
      </c>
      <c r="K5125">
        <f t="shared" si="80"/>
        <v>252.9702385925392</v>
      </c>
    </row>
    <row r="5126" spans="1:11" x14ac:dyDescent="0.2">
      <c r="A5126" t="s">
        <v>56</v>
      </c>
      <c r="B5126" t="s">
        <v>3068</v>
      </c>
      <c r="C5126" t="s">
        <v>15790</v>
      </c>
      <c r="D5126" t="s">
        <v>15791</v>
      </c>
      <c r="E5126" t="s">
        <v>318</v>
      </c>
      <c r="F5126" t="s">
        <v>24</v>
      </c>
      <c r="G5126" t="s">
        <v>24</v>
      </c>
      <c r="H5126">
        <f>15791*(1.01^10)</f>
        <v>17443.087982368335</v>
      </c>
      <c r="I5126">
        <f>62060*(1.01^10)</f>
        <v>68552.849103019369</v>
      </c>
      <c r="J5126" t="s">
        <v>15792</v>
      </c>
      <c r="K5126">
        <f t="shared" si="80"/>
        <v>302.44487575092029</v>
      </c>
    </row>
    <row r="5127" spans="1:11" x14ac:dyDescent="0.2">
      <c r="A5127" t="s">
        <v>56</v>
      </c>
      <c r="B5127" t="s">
        <v>3068</v>
      </c>
      <c r="C5127" t="s">
        <v>15793</v>
      </c>
      <c r="D5127" t="s">
        <v>15794</v>
      </c>
      <c r="E5127" t="s">
        <v>274</v>
      </c>
      <c r="F5127" t="s">
        <v>17</v>
      </c>
      <c r="G5127" t="s">
        <v>12</v>
      </c>
      <c r="H5127">
        <f>52233*(1.01^10)</f>
        <v>57697.727476603461</v>
      </c>
      <c r="I5127">
        <f>211948*(1.01^10)</f>
        <v>234122.45023665403</v>
      </c>
      <c r="J5127" t="s">
        <v>15795</v>
      </c>
      <c r="K5127">
        <f t="shared" si="80"/>
        <v>992.9380144537655</v>
      </c>
    </row>
    <row r="5128" spans="1:11" x14ac:dyDescent="0.2">
      <c r="A5128" t="s">
        <v>56</v>
      </c>
      <c r="B5128" t="s">
        <v>3068</v>
      </c>
      <c r="C5128" t="s">
        <v>15796</v>
      </c>
      <c r="D5128" t="s">
        <v>15797</v>
      </c>
      <c r="E5128" t="s">
        <v>744</v>
      </c>
      <c r="F5128" t="s">
        <v>12</v>
      </c>
      <c r="G5128" t="s">
        <v>24</v>
      </c>
      <c r="H5128">
        <f>11189*(1.01^10)</f>
        <v>12359.616961225969</v>
      </c>
      <c r="I5128">
        <f>42509*(1.01^10)</f>
        <v>46956.3819291049</v>
      </c>
      <c r="J5128" t="s">
        <v>15798</v>
      </c>
      <c r="K5128">
        <f t="shared" si="80"/>
        <v>355.20770700444376</v>
      </c>
    </row>
    <row r="5129" spans="1:11" x14ac:dyDescent="0.2">
      <c r="A5129" t="s">
        <v>56</v>
      </c>
      <c r="B5129" t="s">
        <v>3068</v>
      </c>
      <c r="C5129" t="s">
        <v>15799</v>
      </c>
      <c r="D5129" t="s">
        <v>15800</v>
      </c>
      <c r="E5129" t="s">
        <v>405</v>
      </c>
      <c r="F5129" t="s">
        <v>12</v>
      </c>
      <c r="G5129" t="s">
        <v>24</v>
      </c>
      <c r="H5129">
        <f>18259*(1.01^10)</f>
        <v>20169.295387883187</v>
      </c>
      <c r="I5129">
        <f>68978*(1.01^10)</f>
        <v>76194.624966614079</v>
      </c>
      <c r="J5129" t="s">
        <v>15801</v>
      </c>
      <c r="K5129">
        <f t="shared" si="80"/>
        <v>459.19981279802266</v>
      </c>
    </row>
    <row r="5130" spans="1:11" x14ac:dyDescent="0.2">
      <c r="A5130" t="s">
        <v>56</v>
      </c>
      <c r="B5130" t="s">
        <v>3068</v>
      </c>
      <c r="C5130" t="s">
        <v>15802</v>
      </c>
      <c r="D5130" t="s">
        <v>15803</v>
      </c>
      <c r="E5130" t="s">
        <v>458</v>
      </c>
      <c r="F5130" t="s">
        <v>17</v>
      </c>
      <c r="G5130" t="s">
        <v>12</v>
      </c>
      <c r="H5130">
        <f>38694*(1.01^10)</f>
        <v>42742.24852066116</v>
      </c>
      <c r="I5130">
        <f>153629*(1.01^10)</f>
        <v>169701.99250479796</v>
      </c>
      <c r="J5130" t="s">
        <v>15804</v>
      </c>
      <c r="K5130">
        <f t="shared" si="80"/>
        <v>805.31003602595149</v>
      </c>
    </row>
    <row r="5131" spans="1:11" x14ac:dyDescent="0.2">
      <c r="A5131" t="s">
        <v>56</v>
      </c>
      <c r="B5131" t="s">
        <v>3068</v>
      </c>
      <c r="C5131" t="s">
        <v>15805</v>
      </c>
      <c r="D5131" t="s">
        <v>15806</v>
      </c>
      <c r="E5131" t="s">
        <v>382</v>
      </c>
      <c r="F5131" t="s">
        <v>12</v>
      </c>
      <c r="G5131" t="s">
        <v>24</v>
      </c>
      <c r="H5131">
        <f>15204*(1.01^10)</f>
        <v>16794.674794751958</v>
      </c>
      <c r="I5131">
        <f>56321*(1.01^10)</f>
        <v>62213.422725284465</v>
      </c>
      <c r="J5131" t="s">
        <v>15807</v>
      </c>
      <c r="K5131">
        <f t="shared" si="80"/>
        <v>341.17101828201316</v>
      </c>
    </row>
    <row r="5132" spans="1:11" x14ac:dyDescent="0.2">
      <c r="A5132" t="s">
        <v>56</v>
      </c>
      <c r="B5132" t="s">
        <v>3068</v>
      </c>
      <c r="C5132" t="s">
        <v>15808</v>
      </c>
      <c r="D5132" t="s">
        <v>15809</v>
      </c>
      <c r="E5132" t="s">
        <v>318</v>
      </c>
      <c r="F5132" t="s">
        <v>24</v>
      </c>
      <c r="G5132" t="s">
        <v>24</v>
      </c>
      <c r="H5132">
        <f>17119*(1.01^10)</f>
        <v>18910.026164914416</v>
      </c>
      <c r="I5132">
        <f>63449*(1.01^10)</f>
        <v>70087.169235215537</v>
      </c>
      <c r="J5132" t="s">
        <v>15810</v>
      </c>
      <c r="K5132">
        <f t="shared" si="80"/>
        <v>476.04045649120786</v>
      </c>
    </row>
    <row r="5133" spans="1:11" x14ac:dyDescent="0.2">
      <c r="A5133" t="s">
        <v>56</v>
      </c>
      <c r="B5133" t="s">
        <v>3068</v>
      </c>
      <c r="C5133" t="s">
        <v>15811</v>
      </c>
      <c r="D5133" t="s">
        <v>15812</v>
      </c>
      <c r="E5133" t="s">
        <v>382</v>
      </c>
      <c r="F5133" t="s">
        <v>12</v>
      </c>
      <c r="G5133" t="s">
        <v>24</v>
      </c>
      <c r="H5133">
        <f>15909*(1.01^10)</f>
        <v>17573.433393166855</v>
      </c>
      <c r="I5133">
        <f>60144*(1.01^10)</f>
        <v>66436.3931107315</v>
      </c>
      <c r="J5133" t="s">
        <v>15813</v>
      </c>
      <c r="K5133">
        <f t="shared" si="80"/>
        <v>486.27140056259003</v>
      </c>
    </row>
    <row r="5134" spans="1:11" x14ac:dyDescent="0.2">
      <c r="A5134" t="s">
        <v>56</v>
      </c>
      <c r="B5134" t="s">
        <v>3068</v>
      </c>
      <c r="C5134" t="s">
        <v>15814</v>
      </c>
      <c r="D5134" t="s">
        <v>15815</v>
      </c>
      <c r="E5134" t="s">
        <v>108</v>
      </c>
      <c r="F5134" t="s">
        <v>24</v>
      </c>
      <c r="G5134" t="s">
        <v>12</v>
      </c>
      <c r="H5134">
        <f>195678*(1.01^10)</f>
        <v>216150.24825621373</v>
      </c>
      <c r="I5134">
        <f>779289*(1.01^10)</f>
        <v>860819.87148957234</v>
      </c>
      <c r="J5134" t="s">
        <v>15816</v>
      </c>
      <c r="K5134">
        <f t="shared" si="80"/>
        <v>4458.3487288542829</v>
      </c>
    </row>
    <row r="5135" spans="1:11" x14ac:dyDescent="0.2">
      <c r="A5135" t="s">
        <v>56</v>
      </c>
      <c r="B5135" t="s">
        <v>3068</v>
      </c>
      <c r="C5135" t="s">
        <v>15817</v>
      </c>
      <c r="D5135" t="s">
        <v>15818</v>
      </c>
      <c r="E5135" t="s">
        <v>405</v>
      </c>
      <c r="F5135" t="s">
        <v>24</v>
      </c>
      <c r="G5135" t="s">
        <v>24</v>
      </c>
      <c r="H5135">
        <f>19990*(1.01^10)</f>
        <v>22081.396286969983</v>
      </c>
      <c r="I5135">
        <f>73689*(1.01^10)</f>
        <v>81398.499799426267</v>
      </c>
      <c r="J5135" t="s">
        <v>15819</v>
      </c>
      <c r="K5135">
        <f t="shared" si="80"/>
        <v>680.77286722414965</v>
      </c>
    </row>
    <row r="5136" spans="1:11" x14ac:dyDescent="0.2">
      <c r="A5136" t="s">
        <v>56</v>
      </c>
      <c r="B5136" t="s">
        <v>3068</v>
      </c>
      <c r="C5136" t="s">
        <v>15820</v>
      </c>
      <c r="D5136" t="s">
        <v>15821</v>
      </c>
      <c r="E5136" t="s">
        <v>318</v>
      </c>
      <c r="F5136" t="s">
        <v>24</v>
      </c>
      <c r="G5136" t="s">
        <v>24</v>
      </c>
      <c r="H5136">
        <f>18406*(1.01^10)</f>
        <v>20331.674840318636</v>
      </c>
      <c r="I5136">
        <f>62655*(1.01^10)</f>
        <v>69210.099267639031</v>
      </c>
      <c r="J5136" t="s">
        <v>15822</v>
      </c>
      <c r="K5136">
        <f t="shared" si="80"/>
        <v>473.00184202850443</v>
      </c>
    </row>
    <row r="5137" spans="1:11" x14ac:dyDescent="0.2">
      <c r="A5137" t="s">
        <v>56</v>
      </c>
      <c r="B5137" t="s">
        <v>3068</v>
      </c>
      <c r="C5137" t="s">
        <v>15823</v>
      </c>
      <c r="D5137" t="s">
        <v>15824</v>
      </c>
      <c r="E5137" t="s">
        <v>318</v>
      </c>
      <c r="F5137" t="s">
        <v>24</v>
      </c>
      <c r="G5137" t="s">
        <v>24</v>
      </c>
      <c r="H5137">
        <f>17686*(1.01^10)</f>
        <v>19536.346910022567</v>
      </c>
      <c r="I5137">
        <f>56662*(1.01^10)</f>
        <v>62590.098870049682</v>
      </c>
      <c r="J5137" t="s">
        <v>15825</v>
      </c>
      <c r="K5137">
        <f t="shared" si="80"/>
        <v>564.52983145306086</v>
      </c>
    </row>
    <row r="5138" spans="1:11" x14ac:dyDescent="0.2">
      <c r="A5138" t="s">
        <v>56</v>
      </c>
      <c r="B5138" t="s">
        <v>3068</v>
      </c>
      <c r="C5138" t="s">
        <v>15826</v>
      </c>
      <c r="D5138" t="s">
        <v>15827</v>
      </c>
      <c r="E5138" t="s">
        <v>108</v>
      </c>
      <c r="F5138" t="s">
        <v>12</v>
      </c>
      <c r="G5138" t="s">
        <v>12</v>
      </c>
      <c r="H5138">
        <f>64681*(1.01^10)</f>
        <v>71448.063693722128</v>
      </c>
      <c r="I5138">
        <f>240031*(1.01^10)</f>
        <v>265143.55338457687</v>
      </c>
      <c r="J5138" t="s">
        <v>15828</v>
      </c>
      <c r="K5138">
        <f t="shared" si="80"/>
        <v>2321.3575743964593</v>
      </c>
    </row>
    <row r="5139" spans="1:11" x14ac:dyDescent="0.2">
      <c r="A5139" t="s">
        <v>56</v>
      </c>
      <c r="B5139" t="s">
        <v>3068</v>
      </c>
      <c r="C5139" t="s">
        <v>15829</v>
      </c>
      <c r="D5139" t="s">
        <v>15830</v>
      </c>
      <c r="E5139" t="s">
        <v>405</v>
      </c>
      <c r="F5139" t="s">
        <v>12</v>
      </c>
      <c r="G5139" t="s">
        <v>24</v>
      </c>
      <c r="H5139">
        <f>19622*(1.01^10)</f>
        <v>21674.895344818658</v>
      </c>
      <c r="I5139">
        <f>72141*(1.01^10)</f>
        <v>79688.544749289722</v>
      </c>
      <c r="J5139" t="s">
        <v>15831</v>
      </c>
      <c r="K5139">
        <f t="shared" si="80"/>
        <v>610.21180721475571</v>
      </c>
    </row>
    <row r="5140" spans="1:11" x14ac:dyDescent="0.2">
      <c r="A5140" t="s">
        <v>56</v>
      </c>
      <c r="B5140" t="s">
        <v>3068</v>
      </c>
      <c r="C5140" t="s">
        <v>15832</v>
      </c>
      <c r="D5140" t="s">
        <v>15833</v>
      </c>
      <c r="E5140" t="s">
        <v>458</v>
      </c>
      <c r="F5140" t="s">
        <v>24</v>
      </c>
      <c r="G5140" t="s">
        <v>24</v>
      </c>
      <c r="H5140">
        <f>12805*(1.01^10)</f>
        <v>14144.686315890476</v>
      </c>
      <c r="I5140">
        <f>45773*(1.01^10)</f>
        <v>50561.868546447076</v>
      </c>
      <c r="J5140" t="s">
        <v>15834</v>
      </c>
      <c r="K5140">
        <f t="shared" si="80"/>
        <v>433.00025080872479</v>
      </c>
    </row>
    <row r="5141" spans="1:11" x14ac:dyDescent="0.2">
      <c r="A5141" t="s">
        <v>56</v>
      </c>
      <c r="B5141" t="s">
        <v>3068</v>
      </c>
      <c r="C5141" t="s">
        <v>15835</v>
      </c>
      <c r="D5141" t="s">
        <v>15299</v>
      </c>
      <c r="E5141" t="s">
        <v>405</v>
      </c>
      <c r="F5141" t="s">
        <v>24</v>
      </c>
      <c r="G5141" t="s">
        <v>24</v>
      </c>
      <c r="H5141">
        <f>13448*(1.01^10)</f>
        <v>14854.958342529881</v>
      </c>
      <c r="I5141">
        <f>49390*(1.01^10)</f>
        <v>54557.286774059401</v>
      </c>
      <c r="J5141" t="s">
        <v>15836</v>
      </c>
      <c r="K5141">
        <f t="shared" si="80"/>
        <v>447.46355333168134</v>
      </c>
    </row>
    <row r="5142" spans="1:11" x14ac:dyDescent="0.2">
      <c r="A5142" t="s">
        <v>56</v>
      </c>
      <c r="B5142" t="s">
        <v>3068</v>
      </c>
      <c r="C5142" t="s">
        <v>15837</v>
      </c>
      <c r="D5142" t="s">
        <v>15838</v>
      </c>
      <c r="E5142" t="s">
        <v>382</v>
      </c>
      <c r="F5142" t="s">
        <v>24</v>
      </c>
      <c r="G5142" t="s">
        <v>24</v>
      </c>
      <c r="H5142">
        <f>12212*(1.01^10)</f>
        <v>13489.645395521633</v>
      </c>
      <c r="I5142">
        <f>41980*(1.01^10)</f>
        <v>46372.036824762377</v>
      </c>
      <c r="J5142" t="s">
        <v>15759</v>
      </c>
      <c r="K5142">
        <f t="shared" si="80"/>
        <v>328.42094946049508</v>
      </c>
    </row>
    <row r="5143" spans="1:11" x14ac:dyDescent="0.2">
      <c r="A5143" t="s">
        <v>56</v>
      </c>
      <c r="B5143" t="s">
        <v>3068</v>
      </c>
      <c r="C5143" t="s">
        <v>15839</v>
      </c>
      <c r="D5143" t="s">
        <v>15840</v>
      </c>
      <c r="E5143" t="s">
        <v>108</v>
      </c>
      <c r="F5143" t="s">
        <v>24</v>
      </c>
      <c r="G5143" t="s">
        <v>24</v>
      </c>
      <c r="H5143">
        <f>12091*(1.01^10)</f>
        <v>13355.986118346877</v>
      </c>
      <c r="I5143">
        <f>40681*(1.01^10)</f>
        <v>44937.132683853219</v>
      </c>
      <c r="J5143" t="s">
        <v>15841</v>
      </c>
      <c r="K5143">
        <f t="shared" si="80"/>
        <v>250.43916599662845</v>
      </c>
    </row>
    <row r="5144" spans="1:11" x14ac:dyDescent="0.2">
      <c r="A5144" t="s">
        <v>56</v>
      </c>
      <c r="B5144" t="s">
        <v>3068</v>
      </c>
      <c r="C5144" t="s">
        <v>15842</v>
      </c>
      <c r="D5144" t="s">
        <v>15843</v>
      </c>
      <c r="E5144" t="s">
        <v>445</v>
      </c>
      <c r="F5144" t="s">
        <v>24</v>
      </c>
      <c r="G5144" t="s">
        <v>12</v>
      </c>
      <c r="H5144">
        <f>34297*(1.01^10)</f>
        <v>37885.22503522809</v>
      </c>
      <c r="I5144">
        <f>123417*(1.01^10)</f>
        <v>136329.14885187466</v>
      </c>
      <c r="J5144" t="s">
        <v>15844</v>
      </c>
      <c r="K5144">
        <f t="shared" si="80"/>
        <v>791.47280834902529</v>
      </c>
    </row>
    <row r="5145" spans="1:11" x14ac:dyDescent="0.2">
      <c r="A5145" t="s">
        <v>56</v>
      </c>
      <c r="B5145" t="s">
        <v>3068</v>
      </c>
      <c r="C5145" t="s">
        <v>15845</v>
      </c>
      <c r="D5145" t="s">
        <v>15846</v>
      </c>
      <c r="E5145" t="s">
        <v>382</v>
      </c>
      <c r="F5145" t="s">
        <v>24</v>
      </c>
      <c r="G5145" t="s">
        <v>24</v>
      </c>
      <c r="H5145">
        <f>13873*(1.01^10)</f>
        <v>15324.422745829643</v>
      </c>
      <c r="I5145">
        <f>45778*(1.01^10)</f>
        <v>50567.391657074128</v>
      </c>
      <c r="J5145" t="s">
        <v>15847</v>
      </c>
      <c r="K5145">
        <f t="shared" si="80"/>
        <v>479.30185428064004</v>
      </c>
    </row>
    <row r="5146" spans="1:11" x14ac:dyDescent="0.2">
      <c r="A5146" t="s">
        <v>56</v>
      </c>
      <c r="B5146" t="s">
        <v>3068</v>
      </c>
      <c r="C5146" t="s">
        <v>15848</v>
      </c>
      <c r="D5146" t="s">
        <v>15849</v>
      </c>
      <c r="E5146" t="s">
        <v>458</v>
      </c>
      <c r="F5146" t="s">
        <v>24</v>
      </c>
      <c r="G5146" t="s">
        <v>24</v>
      </c>
      <c r="H5146">
        <f>13207*(1.01^10)</f>
        <v>14588.744410305781</v>
      </c>
      <c r="I5146">
        <f>44713*(1.01^10)</f>
        <v>49390.969093511201</v>
      </c>
      <c r="J5146" t="s">
        <v>15850</v>
      </c>
      <c r="K5146">
        <f t="shared" si="80"/>
        <v>396.68883354316756</v>
      </c>
    </row>
    <row r="5147" spans="1:11" x14ac:dyDescent="0.2">
      <c r="A5147" t="s">
        <v>56</v>
      </c>
      <c r="B5147" t="s">
        <v>3068</v>
      </c>
      <c r="C5147" t="s">
        <v>15851</v>
      </c>
      <c r="D5147" t="s">
        <v>15852</v>
      </c>
      <c r="E5147" t="s">
        <v>382</v>
      </c>
      <c r="F5147" t="s">
        <v>12</v>
      </c>
      <c r="G5147" t="s">
        <v>24</v>
      </c>
      <c r="H5147">
        <f>12858*(1.01^10)</f>
        <v>14203.23128853727</v>
      </c>
      <c r="I5147">
        <f>43586*(1.01^10)</f>
        <v>48146.059958172773</v>
      </c>
      <c r="J5147" t="s">
        <v>15853</v>
      </c>
      <c r="K5147">
        <f t="shared" si="80"/>
        <v>467.19960573718544</v>
      </c>
    </row>
    <row r="5148" spans="1:11" x14ac:dyDescent="0.2">
      <c r="A5148" t="s">
        <v>56</v>
      </c>
      <c r="B5148" t="s">
        <v>3068</v>
      </c>
      <c r="C5148" t="s">
        <v>15854</v>
      </c>
      <c r="D5148" t="s">
        <v>15855</v>
      </c>
      <c r="E5148" t="s">
        <v>108</v>
      </c>
      <c r="F5148" t="s">
        <v>12</v>
      </c>
      <c r="G5148" t="s">
        <v>24</v>
      </c>
      <c r="H5148">
        <f>16310*(1.01^10)</f>
        <v>18016.386865456749</v>
      </c>
      <c r="I5148">
        <f>55323*(1.01^10)</f>
        <v>61111.009844124077</v>
      </c>
      <c r="J5148" t="s">
        <v>15856</v>
      </c>
      <c r="K5148">
        <f t="shared" si="80"/>
        <v>518.3116060659479</v>
      </c>
    </row>
    <row r="5149" spans="1:11" x14ac:dyDescent="0.2">
      <c r="A5149" t="s">
        <v>56</v>
      </c>
      <c r="B5149" t="s">
        <v>3068</v>
      </c>
      <c r="C5149" t="s">
        <v>15857</v>
      </c>
      <c r="D5149" t="s">
        <v>15858</v>
      </c>
      <c r="E5149" t="s">
        <v>382</v>
      </c>
      <c r="F5149" t="s">
        <v>24</v>
      </c>
      <c r="G5149" t="s">
        <v>24</v>
      </c>
      <c r="H5149">
        <f>15372*(1.01^10)</f>
        <v>16980.251311821041</v>
      </c>
      <c r="I5149">
        <f>50252*(1.01^10)</f>
        <v>55509.471046163861</v>
      </c>
      <c r="J5149" t="s">
        <v>15859</v>
      </c>
      <c r="K5149">
        <f t="shared" si="80"/>
        <v>580.63604496698576</v>
      </c>
    </row>
    <row r="5150" spans="1:11" x14ac:dyDescent="0.2">
      <c r="A5150" t="s">
        <v>56</v>
      </c>
      <c r="B5150" t="s">
        <v>3068</v>
      </c>
      <c r="C5150" t="s">
        <v>15860</v>
      </c>
      <c r="D5150" t="s">
        <v>15861</v>
      </c>
      <c r="E5150" t="s">
        <v>405</v>
      </c>
      <c r="F5150" t="s">
        <v>24</v>
      </c>
      <c r="G5150" t="s">
        <v>24</v>
      </c>
      <c r="H5150">
        <f>17586*(1.01^10)</f>
        <v>19425.884697481448</v>
      </c>
      <c r="I5150">
        <f>60385*(1.01^10)</f>
        <v>66702.607042955598</v>
      </c>
      <c r="J5150" t="s">
        <v>15862</v>
      </c>
      <c r="K5150">
        <f t="shared" si="80"/>
        <v>684.27471751910525</v>
      </c>
    </row>
    <row r="5151" spans="1:11" x14ac:dyDescent="0.2">
      <c r="A5151" t="s">
        <v>56</v>
      </c>
      <c r="B5151" t="s">
        <v>3068</v>
      </c>
      <c r="C5151" t="s">
        <v>15863</v>
      </c>
      <c r="D5151" t="s">
        <v>15864</v>
      </c>
      <c r="E5151" t="s">
        <v>158</v>
      </c>
      <c r="F5151" t="s">
        <v>24</v>
      </c>
      <c r="G5151" t="s">
        <v>24</v>
      </c>
      <c r="H5151">
        <f>10992*(1.01^10)</f>
        <v>12142.006402519963</v>
      </c>
      <c r="I5151">
        <f>38609*(1.01^10)</f>
        <v>42648.355640001202</v>
      </c>
      <c r="J5151" t="s">
        <v>15865</v>
      </c>
      <c r="K5151">
        <f t="shared" si="80"/>
        <v>597.06197070048188</v>
      </c>
    </row>
    <row r="5152" spans="1:11" x14ac:dyDescent="0.2">
      <c r="A5152" t="s">
        <v>56</v>
      </c>
      <c r="B5152" t="s">
        <v>3068</v>
      </c>
      <c r="C5152" t="s">
        <v>15866</v>
      </c>
      <c r="D5152" t="s">
        <v>15867</v>
      </c>
      <c r="E5152" t="s">
        <v>92</v>
      </c>
      <c r="F5152" t="s">
        <v>24</v>
      </c>
      <c r="G5152" t="s">
        <v>24</v>
      </c>
      <c r="H5152">
        <f>14361*(1.01^10)</f>
        <v>15863.47834303031</v>
      </c>
      <c r="I5152">
        <f>50320*(1.01^10)</f>
        <v>55584.585350691821</v>
      </c>
      <c r="J5152" t="s">
        <v>15868</v>
      </c>
      <c r="K5152">
        <f t="shared" si="80"/>
        <v>528.95542601496675</v>
      </c>
    </row>
    <row r="5153" spans="1:11" x14ac:dyDescent="0.2">
      <c r="A5153" t="s">
        <v>56</v>
      </c>
      <c r="B5153" t="s">
        <v>3068</v>
      </c>
      <c r="C5153" t="s">
        <v>15869</v>
      </c>
      <c r="D5153" t="s">
        <v>15870</v>
      </c>
      <c r="E5153" t="s">
        <v>445</v>
      </c>
      <c r="F5153" t="s">
        <v>17</v>
      </c>
      <c r="G5153" t="s">
        <v>12</v>
      </c>
      <c r="H5153">
        <f>38605*(1.01^10)</f>
        <v>42643.937151499558</v>
      </c>
      <c r="I5153">
        <f>143825*(1.01^10)</f>
        <v>158872.27718726653</v>
      </c>
      <c r="J5153" t="s">
        <v>15871</v>
      </c>
      <c r="K5153">
        <f t="shared" si="80"/>
        <v>597.35352680461949</v>
      </c>
    </row>
    <row r="5154" spans="1:11" x14ac:dyDescent="0.2">
      <c r="A5154" t="s">
        <v>56</v>
      </c>
      <c r="B5154" t="s">
        <v>3068</v>
      </c>
      <c r="C5154" t="s">
        <v>15872</v>
      </c>
      <c r="D5154" t="s">
        <v>15873</v>
      </c>
      <c r="E5154" t="s">
        <v>152</v>
      </c>
      <c r="F5154" t="s">
        <v>24</v>
      </c>
      <c r="G5154" t="s">
        <v>24</v>
      </c>
      <c r="H5154">
        <f>17086*(1.01^10)</f>
        <v>18873.573634775843</v>
      </c>
      <c r="I5154">
        <f>59973*(1.01^10)</f>
        <v>66247.502727286177</v>
      </c>
      <c r="J5154" t="s">
        <v>15874</v>
      </c>
      <c r="K5154">
        <f t="shared" si="80"/>
        <v>354.94871167916335</v>
      </c>
    </row>
    <row r="5155" spans="1:11" x14ac:dyDescent="0.2">
      <c r="A5155" t="s">
        <v>56</v>
      </c>
      <c r="B5155" t="s">
        <v>3068</v>
      </c>
      <c r="C5155" t="s">
        <v>15875</v>
      </c>
      <c r="D5155" t="s">
        <v>15876</v>
      </c>
      <c r="E5155" t="s">
        <v>382</v>
      </c>
      <c r="F5155" t="s">
        <v>24</v>
      </c>
      <c r="G5155" t="s">
        <v>24</v>
      </c>
      <c r="H5155">
        <f>15333*(1.01^10)</f>
        <v>16937.171048930002</v>
      </c>
      <c r="I5155">
        <f>50262*(1.01^10)</f>
        <v>55520.51726741797</v>
      </c>
      <c r="J5155" t="s">
        <v>15877</v>
      </c>
      <c r="K5155">
        <f t="shared" si="80"/>
        <v>388.21778533627696</v>
      </c>
    </row>
    <row r="5156" spans="1:11" x14ac:dyDescent="0.2">
      <c r="A5156" t="s">
        <v>56</v>
      </c>
      <c r="B5156" t="s">
        <v>3068</v>
      </c>
      <c r="C5156" t="s">
        <v>15878</v>
      </c>
      <c r="D5156" t="s">
        <v>15879</v>
      </c>
      <c r="E5156" t="s">
        <v>44</v>
      </c>
      <c r="F5156" t="s">
        <v>12</v>
      </c>
      <c r="G5156" t="s">
        <v>12</v>
      </c>
      <c r="H5156">
        <f>30556*(1.01^10)</f>
        <v>33752.833664064776</v>
      </c>
      <c r="I5156">
        <f>111989*(1.01^10)</f>
        <v>123705.52720267541</v>
      </c>
      <c r="J5156" t="s">
        <v>15880</v>
      </c>
      <c r="K5156">
        <f t="shared" si="80"/>
        <v>463.0840727593577</v>
      </c>
    </row>
    <row r="5157" spans="1:11" x14ac:dyDescent="0.2">
      <c r="A5157" t="s">
        <v>56</v>
      </c>
      <c r="B5157" t="s">
        <v>53</v>
      </c>
      <c r="C5157" t="s">
        <v>15881</v>
      </c>
      <c r="D5157" t="s">
        <v>15882</v>
      </c>
      <c r="E5157" t="s">
        <v>796</v>
      </c>
      <c r="F5157" t="s">
        <v>108</v>
      </c>
      <c r="G5157" t="s">
        <v>24</v>
      </c>
      <c r="H5157">
        <f>14558*(1.01^10)</f>
        <v>16081.088901736319</v>
      </c>
      <c r="I5157">
        <f>64063*(1.01^10)</f>
        <v>70765.40722021801</v>
      </c>
      <c r="J5157" t="s">
        <v>15883</v>
      </c>
      <c r="K5157">
        <f t="shared" si="80"/>
        <v>61.689913592491244</v>
      </c>
    </row>
    <row r="5158" spans="1:11" x14ac:dyDescent="0.2">
      <c r="A5158" t="s">
        <v>56</v>
      </c>
      <c r="B5158" t="s">
        <v>53</v>
      </c>
      <c r="C5158" t="s">
        <v>15884</v>
      </c>
      <c r="D5158" t="s">
        <v>15885</v>
      </c>
      <c r="E5158" t="s">
        <v>44</v>
      </c>
      <c r="F5158" t="s">
        <v>11</v>
      </c>
      <c r="G5158" t="s">
        <v>24</v>
      </c>
      <c r="H5158">
        <f>12551*(1.01^10)</f>
        <v>13864.11229603603</v>
      </c>
      <c r="I5158">
        <f>53279*(1.01^10)</f>
        <v>58853.162219783575</v>
      </c>
      <c r="J5158" t="s">
        <v>15886</v>
      </c>
      <c r="K5158">
        <f t="shared" si="80"/>
        <v>84.983959225459003</v>
      </c>
    </row>
    <row r="5159" spans="1:11" x14ac:dyDescent="0.2">
      <c r="A5159" t="s">
        <v>56</v>
      </c>
      <c r="B5159" t="s">
        <v>53</v>
      </c>
      <c r="C5159" t="s">
        <v>15887</v>
      </c>
      <c r="D5159" t="s">
        <v>15888</v>
      </c>
      <c r="E5159" t="s">
        <v>274</v>
      </c>
      <c r="F5159" t="s">
        <v>11</v>
      </c>
      <c r="G5159" t="s">
        <v>24</v>
      </c>
      <c r="H5159">
        <f>14542*(1.01^10)</f>
        <v>16063.41494772974</v>
      </c>
      <c r="I5159">
        <f>62627*(1.01^10)</f>
        <v>69179.169848127523</v>
      </c>
      <c r="J5159" t="s">
        <v>15889</v>
      </c>
      <c r="K5159">
        <f t="shared" si="80"/>
        <v>252.24816434117187</v>
      </c>
    </row>
    <row r="5160" spans="1:11" x14ac:dyDescent="0.2">
      <c r="A5160" t="s">
        <v>56</v>
      </c>
      <c r="B5160" t="s">
        <v>53</v>
      </c>
      <c r="C5160" t="s">
        <v>15890</v>
      </c>
      <c r="D5160" t="s">
        <v>15891</v>
      </c>
      <c r="E5160" t="s">
        <v>356</v>
      </c>
      <c r="F5160" t="s">
        <v>24</v>
      </c>
      <c r="G5160" t="s">
        <v>24</v>
      </c>
      <c r="H5160">
        <f>10834*(1.01^10)</f>
        <v>11967.476106704993</v>
      </c>
      <c r="I5160">
        <f>44187*(1.01^10)</f>
        <v>48809.937855544908</v>
      </c>
      <c r="J5160" t="s">
        <v>15892</v>
      </c>
      <c r="K5160">
        <f t="shared" si="80"/>
        <v>55.131988709766091</v>
      </c>
    </row>
    <row r="5161" spans="1:11" x14ac:dyDescent="0.2">
      <c r="A5161" t="s">
        <v>56</v>
      </c>
      <c r="B5161" t="s">
        <v>53</v>
      </c>
      <c r="C5161" t="s">
        <v>15893</v>
      </c>
      <c r="D5161" t="s">
        <v>15894</v>
      </c>
      <c r="E5161" t="s">
        <v>44</v>
      </c>
      <c r="F5161" t="s">
        <v>24</v>
      </c>
      <c r="G5161" t="s">
        <v>24</v>
      </c>
      <c r="H5161">
        <f>10158*(1.01^10)</f>
        <v>11220.751549927018</v>
      </c>
      <c r="I5161">
        <f>42262*(1.01^10)</f>
        <v>46683.540264128336</v>
      </c>
      <c r="J5161" t="s">
        <v>15895</v>
      </c>
      <c r="K5161">
        <f t="shared" si="80"/>
        <v>172.40061141229342</v>
      </c>
    </row>
    <row r="5162" spans="1:11" x14ac:dyDescent="0.2">
      <c r="A5162" t="s">
        <v>56</v>
      </c>
      <c r="B5162" t="s">
        <v>53</v>
      </c>
      <c r="C5162" t="s">
        <v>15896</v>
      </c>
      <c r="D5162" t="s">
        <v>15897</v>
      </c>
      <c r="E5162" t="s">
        <v>313</v>
      </c>
      <c r="F5162" t="s">
        <v>11</v>
      </c>
      <c r="G5162" t="s">
        <v>24</v>
      </c>
      <c r="H5162">
        <f>11416*(1.01^10)</f>
        <v>12610.366183694314</v>
      </c>
      <c r="I5162">
        <f>48148*(1.01^10)</f>
        <v>53185.346094298686</v>
      </c>
      <c r="J5162" t="s">
        <v>15898</v>
      </c>
      <c r="K5162">
        <f t="shared" si="80"/>
        <v>153.02050526360205</v>
      </c>
    </row>
    <row r="5163" spans="1:11" x14ac:dyDescent="0.2">
      <c r="A5163" t="s">
        <v>56</v>
      </c>
      <c r="B5163" t="s">
        <v>53</v>
      </c>
      <c r="C5163" t="s">
        <v>15899</v>
      </c>
      <c r="D5163" t="s">
        <v>15900</v>
      </c>
      <c r="E5163" t="s">
        <v>411</v>
      </c>
      <c r="F5163" t="s">
        <v>17</v>
      </c>
      <c r="G5163" t="s">
        <v>24</v>
      </c>
      <c r="H5163">
        <f>9632*(1.01^10)</f>
        <v>10639.720311960724</v>
      </c>
      <c r="I5163">
        <f>40801*(1.01^10)</f>
        <v>45069.687338902564</v>
      </c>
      <c r="J5163" t="s">
        <v>15901</v>
      </c>
      <c r="K5163">
        <f t="shared" si="80"/>
        <v>162.51978176568556</v>
      </c>
    </row>
    <row r="5164" spans="1:11" x14ac:dyDescent="0.2">
      <c r="A5164" t="s">
        <v>56</v>
      </c>
      <c r="B5164" t="s">
        <v>53</v>
      </c>
      <c r="C5164" t="s">
        <v>15902</v>
      </c>
      <c r="D5164" t="s">
        <v>15903</v>
      </c>
      <c r="E5164" t="s">
        <v>405</v>
      </c>
      <c r="F5164" t="s">
        <v>12</v>
      </c>
      <c r="G5164" t="s">
        <v>24</v>
      </c>
      <c r="H5164">
        <f>15344*(1.01^10)</f>
        <v>16949.321892309526</v>
      </c>
      <c r="I5164">
        <f>59528*(1.01^10)</f>
        <v>65755.945881478197</v>
      </c>
      <c r="J5164" t="s">
        <v>15904</v>
      </c>
      <c r="K5164">
        <f t="shared" si="80"/>
        <v>315.64896155449452</v>
      </c>
    </row>
    <row r="5165" spans="1:11" x14ac:dyDescent="0.2">
      <c r="A5165" t="s">
        <v>56</v>
      </c>
      <c r="B5165" t="s">
        <v>53</v>
      </c>
      <c r="C5165" t="s">
        <v>15905</v>
      </c>
      <c r="D5165" t="s">
        <v>15906</v>
      </c>
      <c r="E5165" t="s">
        <v>318</v>
      </c>
      <c r="F5165" t="s">
        <v>24</v>
      </c>
      <c r="G5165" t="s">
        <v>24</v>
      </c>
      <c r="H5165">
        <f>13661*(1.01^10)</f>
        <v>15090.242855242468</v>
      </c>
      <c r="I5165">
        <f>53269*(1.01^10)</f>
        <v>58842.115998529465</v>
      </c>
      <c r="J5165" t="s">
        <v>15907</v>
      </c>
      <c r="K5165">
        <f t="shared" si="80"/>
        <v>261.37404175973529</v>
      </c>
    </row>
    <row r="5166" spans="1:11" x14ac:dyDescent="0.2">
      <c r="A5166" t="s">
        <v>56</v>
      </c>
      <c r="B5166" t="s">
        <v>53</v>
      </c>
      <c r="C5166" t="s">
        <v>15908</v>
      </c>
      <c r="D5166" t="s">
        <v>15909</v>
      </c>
      <c r="E5166" t="s">
        <v>458</v>
      </c>
      <c r="F5166" t="s">
        <v>24</v>
      </c>
      <c r="G5166" t="s">
        <v>24</v>
      </c>
      <c r="H5166">
        <f>19317*(1.01^10)</f>
        <v>21337.985596568244</v>
      </c>
      <c r="I5166">
        <f>73862*(1.01^10)</f>
        <v>81589.599427122404</v>
      </c>
      <c r="J5166" t="s">
        <v>15910</v>
      </c>
      <c r="K5166">
        <f t="shared" si="80"/>
        <v>451.49380752449036</v>
      </c>
    </row>
    <row r="5167" spans="1:11" x14ac:dyDescent="0.2">
      <c r="A5167" t="s">
        <v>56</v>
      </c>
      <c r="B5167" t="s">
        <v>53</v>
      </c>
      <c r="C5167" t="s">
        <v>15911</v>
      </c>
      <c r="D5167" t="s">
        <v>15912</v>
      </c>
      <c r="E5167" t="s">
        <v>152</v>
      </c>
      <c r="F5167" t="s">
        <v>24</v>
      </c>
      <c r="G5167" t="s">
        <v>24</v>
      </c>
      <c r="H5167">
        <f>8138*(1.01^10)</f>
        <v>8989.4148565963842</v>
      </c>
      <c r="I5167">
        <f>28373*(1.01^10)</f>
        <v>31341.443564292113</v>
      </c>
      <c r="J5167" t="s">
        <v>15913</v>
      </c>
      <c r="K5167">
        <f t="shared" si="80"/>
        <v>297.72201211904388</v>
      </c>
    </row>
    <row r="5168" spans="1:11" x14ac:dyDescent="0.2">
      <c r="A5168" t="s">
        <v>56</v>
      </c>
      <c r="B5168" t="s">
        <v>53</v>
      </c>
      <c r="C5168" t="s">
        <v>15914</v>
      </c>
      <c r="D5168" t="s">
        <v>15915</v>
      </c>
      <c r="E5168" t="s">
        <v>318</v>
      </c>
      <c r="F5168" t="s">
        <v>24</v>
      </c>
      <c r="G5168" t="s">
        <v>24</v>
      </c>
      <c r="H5168">
        <f>15531*(1.01^10)</f>
        <v>17155.886229761421</v>
      </c>
      <c r="I5168">
        <f>54668*(1.01^10)</f>
        <v>60387.482351979743</v>
      </c>
      <c r="J5168" t="s">
        <v>15916</v>
      </c>
      <c r="K5168">
        <f t="shared" si="80"/>
        <v>271.18495134441326</v>
      </c>
    </row>
    <row r="5169" spans="1:11" x14ac:dyDescent="0.2">
      <c r="A5169" t="s">
        <v>56</v>
      </c>
      <c r="B5169" t="s">
        <v>53</v>
      </c>
      <c r="C5169" t="s">
        <v>15917</v>
      </c>
      <c r="D5169" t="s">
        <v>15918</v>
      </c>
      <c r="E5169" t="s">
        <v>6</v>
      </c>
      <c r="F5169" t="s">
        <v>24</v>
      </c>
      <c r="G5169" t="s">
        <v>24</v>
      </c>
      <c r="H5169">
        <f>11322*(1.01^10)</f>
        <v>12506.531703905661</v>
      </c>
      <c r="I5169">
        <f>38916*(1.01^10)</f>
        <v>42987.474632502446</v>
      </c>
      <c r="J5169" t="s">
        <v>15919</v>
      </c>
      <c r="K5169">
        <f t="shared" si="80"/>
        <v>265.09081711558298</v>
      </c>
    </row>
    <row r="5170" spans="1:11" x14ac:dyDescent="0.2">
      <c r="A5170" t="s">
        <v>56</v>
      </c>
      <c r="B5170" t="s">
        <v>53</v>
      </c>
      <c r="C5170" t="s">
        <v>15920</v>
      </c>
      <c r="D5170" t="s">
        <v>15921</v>
      </c>
      <c r="E5170" t="s">
        <v>744</v>
      </c>
      <c r="F5170" t="s">
        <v>24</v>
      </c>
      <c r="G5170" t="s">
        <v>24</v>
      </c>
      <c r="H5170">
        <f>13812*(1.01^10)</f>
        <v>15257.040796179561</v>
      </c>
      <c r="I5170">
        <f>49546*(1.01^10)</f>
        <v>54729.607825623549</v>
      </c>
      <c r="J5170" t="s">
        <v>15922</v>
      </c>
      <c r="K5170">
        <f t="shared" si="80"/>
        <v>377.98118538748139</v>
      </c>
    </row>
    <row r="5171" spans="1:11" x14ac:dyDescent="0.2">
      <c r="A5171" t="s">
        <v>56</v>
      </c>
      <c r="B5171" t="s">
        <v>53</v>
      </c>
      <c r="C5171" t="s">
        <v>15923</v>
      </c>
      <c r="D5171" t="s">
        <v>15924</v>
      </c>
      <c r="E5171" t="s">
        <v>274</v>
      </c>
      <c r="F5171" t="s">
        <v>24</v>
      </c>
      <c r="G5171" t="s">
        <v>24</v>
      </c>
      <c r="H5171">
        <f>12583*(1.01^10)</f>
        <v>13899.46020404919</v>
      </c>
      <c r="I5171">
        <f>45186*(1.01^10)</f>
        <v>49913.455358830695</v>
      </c>
      <c r="J5171" t="s">
        <v>15925</v>
      </c>
      <c r="K5171">
        <f t="shared" si="80"/>
        <v>295.06119879184439</v>
      </c>
    </row>
    <row r="5172" spans="1:11" x14ac:dyDescent="0.2">
      <c r="A5172" t="s">
        <v>56</v>
      </c>
      <c r="B5172" t="s">
        <v>53</v>
      </c>
      <c r="C5172" t="s">
        <v>15926</v>
      </c>
      <c r="D5172" t="s">
        <v>15927</v>
      </c>
      <c r="E5172" t="s">
        <v>445</v>
      </c>
      <c r="F5172" t="s">
        <v>12</v>
      </c>
      <c r="G5172" t="s">
        <v>24</v>
      </c>
      <c r="H5172">
        <f>23389*(1.01^10)</f>
        <v>25836.006891242669</v>
      </c>
      <c r="I5172">
        <f>89769*(1.01^10)</f>
        <v>99160.823576038441</v>
      </c>
      <c r="J5172" t="s">
        <v>15928</v>
      </c>
      <c r="K5172">
        <f t="shared" si="80"/>
        <v>381.71353074674687</v>
      </c>
    </row>
    <row r="5173" spans="1:11" x14ac:dyDescent="0.2">
      <c r="A5173" t="s">
        <v>56</v>
      </c>
      <c r="B5173" t="s">
        <v>53</v>
      </c>
      <c r="C5173" t="s">
        <v>15929</v>
      </c>
      <c r="D5173" t="s">
        <v>15930</v>
      </c>
      <c r="E5173" t="s">
        <v>56</v>
      </c>
      <c r="F5173" t="s">
        <v>12</v>
      </c>
      <c r="G5173" t="s">
        <v>24</v>
      </c>
      <c r="H5173">
        <f>14112*(1.01^10)</f>
        <v>15588.427433802921</v>
      </c>
      <c r="I5173">
        <f>56783*(1.01^10)</f>
        <v>62723.758147224442</v>
      </c>
      <c r="J5173" t="s">
        <v>15931</v>
      </c>
      <c r="K5173">
        <f t="shared" si="80"/>
        <v>190.21330623337758</v>
      </c>
    </row>
    <row r="5174" spans="1:11" x14ac:dyDescent="0.2">
      <c r="A5174" t="s">
        <v>56</v>
      </c>
      <c r="B5174" t="s">
        <v>53</v>
      </c>
      <c r="C5174" t="s">
        <v>15932</v>
      </c>
      <c r="D5174" t="s">
        <v>15933</v>
      </c>
      <c r="E5174" t="s">
        <v>103</v>
      </c>
      <c r="F5174" t="s">
        <v>158</v>
      </c>
      <c r="G5174" t="s">
        <v>24</v>
      </c>
      <c r="H5174">
        <f>20828*(1.01^10)</f>
        <v>23007.069628064572</v>
      </c>
      <c r="I5174">
        <f>86702*(1.01^10)</f>
        <v>95772.947517402281</v>
      </c>
      <c r="J5174" t="s">
        <v>15934</v>
      </c>
      <c r="K5174">
        <f t="shared" si="80"/>
        <v>261.61873614123169</v>
      </c>
    </row>
    <row r="5175" spans="1:11" x14ac:dyDescent="0.2">
      <c r="A5175" t="s">
        <v>56</v>
      </c>
      <c r="B5175" t="s">
        <v>53</v>
      </c>
      <c r="C5175" t="s">
        <v>15935</v>
      </c>
      <c r="D5175" t="s">
        <v>15936</v>
      </c>
      <c r="E5175" t="s">
        <v>1340</v>
      </c>
      <c r="F5175" t="s">
        <v>17</v>
      </c>
      <c r="G5175" t="s">
        <v>12</v>
      </c>
      <c r="H5175">
        <f>29906*(1.01^10)</f>
        <v>33034.829282547493</v>
      </c>
      <c r="I5175">
        <f>122984*(1.01^10)</f>
        <v>135850.84747157161</v>
      </c>
      <c r="J5175" t="s">
        <v>15937</v>
      </c>
      <c r="K5175">
        <f t="shared" si="80"/>
        <v>442.50110261485611</v>
      </c>
    </row>
    <row r="5176" spans="1:11" x14ac:dyDescent="0.2">
      <c r="A5176" t="s">
        <v>56</v>
      </c>
      <c r="B5176" t="s">
        <v>53</v>
      </c>
      <c r="C5176" t="s">
        <v>15938</v>
      </c>
      <c r="D5176" t="s">
        <v>15939</v>
      </c>
      <c r="E5176" t="s">
        <v>382</v>
      </c>
      <c r="F5176" t="s">
        <v>12</v>
      </c>
      <c r="G5176" t="s">
        <v>24</v>
      </c>
      <c r="H5176">
        <f>9079*(1.01^10)</f>
        <v>10028.864276608329</v>
      </c>
      <c r="I5176">
        <f>36169*(1.01^10)</f>
        <v>39953.077653997861</v>
      </c>
      <c r="J5176" t="s">
        <v>15940</v>
      </c>
      <c r="K5176">
        <f t="shared" si="80"/>
        <v>56.547132675616353</v>
      </c>
    </row>
    <row r="5177" spans="1:11" x14ac:dyDescent="0.2">
      <c r="A5177" t="s">
        <v>56</v>
      </c>
      <c r="B5177" t="s">
        <v>53</v>
      </c>
      <c r="C5177" t="s">
        <v>15941</v>
      </c>
      <c r="D5177" t="s">
        <v>15942</v>
      </c>
      <c r="E5177" t="s">
        <v>458</v>
      </c>
      <c r="F5177" t="s">
        <v>17</v>
      </c>
      <c r="G5177" t="s">
        <v>12</v>
      </c>
      <c r="H5177">
        <f>12563*(1.01^10)</f>
        <v>13877.367761540965</v>
      </c>
      <c r="I5177">
        <f>48698*(1.01^10)</f>
        <v>53792.88826327485</v>
      </c>
      <c r="J5177" t="s">
        <v>15943</v>
      </c>
      <c r="K5177">
        <f t="shared" si="80"/>
        <v>391.37396744039944</v>
      </c>
    </row>
    <row r="5178" spans="1:11" x14ac:dyDescent="0.2">
      <c r="A5178" t="s">
        <v>56</v>
      </c>
      <c r="B5178" t="s">
        <v>53</v>
      </c>
      <c r="C5178" t="s">
        <v>15944</v>
      </c>
      <c r="D5178" t="s">
        <v>15945</v>
      </c>
      <c r="E5178" t="s">
        <v>77</v>
      </c>
      <c r="F5178" t="s">
        <v>12</v>
      </c>
      <c r="G5178" t="s">
        <v>24</v>
      </c>
      <c r="H5178">
        <f>8263*(1.01^10)</f>
        <v>9127.4926222727845</v>
      </c>
      <c r="I5178">
        <f>34640*(1.01^10)</f>
        <v>38264.110424244129</v>
      </c>
      <c r="J5178" t="s">
        <v>15946</v>
      </c>
      <c r="K5178">
        <f t="shared" si="80"/>
        <v>143.32002208370059</v>
      </c>
    </row>
    <row r="5179" spans="1:11" x14ac:dyDescent="0.2">
      <c r="A5179" t="s">
        <v>56</v>
      </c>
      <c r="B5179" t="s">
        <v>53</v>
      </c>
      <c r="C5179" t="s">
        <v>15947</v>
      </c>
      <c r="D5179" t="s">
        <v>15948</v>
      </c>
      <c r="E5179" t="s">
        <v>97</v>
      </c>
      <c r="F5179" t="s">
        <v>12</v>
      </c>
      <c r="G5179" t="s">
        <v>24</v>
      </c>
      <c r="H5179">
        <f>11843*(1.01^10)</f>
        <v>13082.039831244898</v>
      </c>
      <c r="I5179">
        <f>49259*(1.01^10)</f>
        <v>54412.581275630531</v>
      </c>
      <c r="J5179" t="s">
        <v>15949</v>
      </c>
      <c r="K5179">
        <f t="shared" si="80"/>
        <v>116.62274360461599</v>
      </c>
    </row>
    <row r="5180" spans="1:11" x14ac:dyDescent="0.2">
      <c r="A5180" t="s">
        <v>56</v>
      </c>
      <c r="B5180" t="s">
        <v>53</v>
      </c>
      <c r="C5180" t="s">
        <v>15950</v>
      </c>
      <c r="D5180" t="s">
        <v>15951</v>
      </c>
      <c r="E5180" t="s">
        <v>220</v>
      </c>
      <c r="F5180" t="s">
        <v>17</v>
      </c>
      <c r="G5180" t="s">
        <v>12</v>
      </c>
      <c r="H5180">
        <f>16230*(1.01^10)</f>
        <v>17928.017095423853</v>
      </c>
      <c r="I5180">
        <f>67017*(1.01^10)</f>
        <v>74028.460978682706</v>
      </c>
      <c r="J5180" t="s">
        <v>15952</v>
      </c>
      <c r="K5180">
        <f t="shared" si="80"/>
        <v>222.91085740215749</v>
      </c>
    </row>
    <row r="5181" spans="1:11" x14ac:dyDescent="0.2">
      <c r="A5181" t="s">
        <v>56</v>
      </c>
      <c r="B5181" t="s">
        <v>53</v>
      </c>
      <c r="C5181" t="s">
        <v>15953</v>
      </c>
      <c r="D5181" t="s">
        <v>15954</v>
      </c>
      <c r="E5181" t="s">
        <v>458</v>
      </c>
      <c r="F5181" t="s">
        <v>11</v>
      </c>
      <c r="G5181" t="s">
        <v>24</v>
      </c>
      <c r="H5181">
        <f>12028*(1.01^10)</f>
        <v>13286.394924445971</v>
      </c>
      <c r="I5181">
        <f>48400*(1.01^10)</f>
        <v>53463.710869902308</v>
      </c>
      <c r="J5181" t="s">
        <v>15955</v>
      </c>
      <c r="K5181">
        <f t="shared" si="80"/>
        <v>273.5734541277219</v>
      </c>
    </row>
    <row r="5182" spans="1:11" x14ac:dyDescent="0.2">
      <c r="A5182" t="s">
        <v>56</v>
      </c>
      <c r="B5182" t="s">
        <v>53</v>
      </c>
      <c r="C5182" t="s">
        <v>15956</v>
      </c>
      <c r="D5182" t="s">
        <v>15957</v>
      </c>
      <c r="E5182" t="s">
        <v>405</v>
      </c>
      <c r="F5182" t="s">
        <v>24</v>
      </c>
      <c r="G5182" t="s">
        <v>24</v>
      </c>
      <c r="H5182">
        <f>13278*(1.01^10)</f>
        <v>14667.172581209976</v>
      </c>
      <c r="I5182">
        <f>48273*(1.01^10)</f>
        <v>53323.42385997509</v>
      </c>
      <c r="J5182" t="s">
        <v>15958</v>
      </c>
      <c r="K5182">
        <f t="shared" si="80"/>
        <v>356.35514597833065</v>
      </c>
    </row>
    <row r="5183" spans="1:11" x14ac:dyDescent="0.2">
      <c r="A5183" t="s">
        <v>56</v>
      </c>
      <c r="B5183" t="s">
        <v>53</v>
      </c>
      <c r="C5183" t="s">
        <v>15959</v>
      </c>
      <c r="D5183" t="s">
        <v>15960</v>
      </c>
      <c r="E5183" t="s">
        <v>17</v>
      </c>
      <c r="F5183" t="s">
        <v>12</v>
      </c>
      <c r="G5183" t="s">
        <v>17</v>
      </c>
      <c r="H5183">
        <f>46878*(1.01^10)</f>
        <v>51782.475995026456</v>
      </c>
      <c r="I5183">
        <f>172826*(1.01^10)</f>
        <v>190907.42344631688</v>
      </c>
      <c r="J5183" t="s">
        <v>15961</v>
      </c>
      <c r="K5183">
        <f t="shared" si="80"/>
        <v>1816.1257503852532</v>
      </c>
    </row>
    <row r="5184" spans="1:11" x14ac:dyDescent="0.2">
      <c r="A5184" t="s">
        <v>56</v>
      </c>
      <c r="B5184" t="s">
        <v>53</v>
      </c>
      <c r="C5184" t="s">
        <v>15962</v>
      </c>
      <c r="D5184" t="s">
        <v>15963</v>
      </c>
      <c r="E5184" t="s">
        <v>5</v>
      </c>
      <c r="F5184" t="s">
        <v>24</v>
      </c>
      <c r="G5184" t="s">
        <v>12</v>
      </c>
      <c r="H5184">
        <f>21247*(1.01^10)</f>
        <v>23469.906298611866</v>
      </c>
      <c r="I5184">
        <f>75219*(1.01^10)</f>
        <v>83088.571651305407</v>
      </c>
      <c r="J5184" t="s">
        <v>15964</v>
      </c>
      <c r="K5184">
        <f t="shared" si="80"/>
        <v>901.82670126043092</v>
      </c>
    </row>
    <row r="5185" spans="1:11" x14ac:dyDescent="0.2">
      <c r="A5185" t="s">
        <v>56</v>
      </c>
      <c r="B5185" t="s">
        <v>53</v>
      </c>
      <c r="C5185" t="s">
        <v>15965</v>
      </c>
      <c r="D5185" t="s">
        <v>15966</v>
      </c>
      <c r="E5185" t="s">
        <v>6</v>
      </c>
      <c r="F5185" t="s">
        <v>24</v>
      </c>
      <c r="G5185" t="s">
        <v>24</v>
      </c>
      <c r="H5185">
        <f>11718*(1.01^10)</f>
        <v>12943.962065568498</v>
      </c>
      <c r="I5185">
        <f>42468*(1.01^10)</f>
        <v>46911.09242196304</v>
      </c>
      <c r="J5185" t="s">
        <v>15967</v>
      </c>
      <c r="K5185">
        <f t="shared" si="80"/>
        <v>273.76666189257918</v>
      </c>
    </row>
    <row r="5186" spans="1:11" x14ac:dyDescent="0.2">
      <c r="A5186" t="s">
        <v>56</v>
      </c>
      <c r="B5186" t="s">
        <v>53</v>
      </c>
      <c r="C5186" t="s">
        <v>15968</v>
      </c>
      <c r="D5186" t="s">
        <v>15969</v>
      </c>
      <c r="E5186" t="s">
        <v>445</v>
      </c>
      <c r="F5186" t="s">
        <v>24</v>
      </c>
      <c r="G5186" t="s">
        <v>24</v>
      </c>
      <c r="H5186">
        <f>18613*(1.01^10)</f>
        <v>20560.331620278754</v>
      </c>
      <c r="I5186">
        <f>67733*(1.01^10)</f>
        <v>74819.370420477135</v>
      </c>
      <c r="J5186" t="s">
        <v>15970</v>
      </c>
      <c r="K5186">
        <f t="shared" si="80"/>
        <v>291.74395009390128</v>
      </c>
    </row>
    <row r="5187" spans="1:11" x14ac:dyDescent="0.2">
      <c r="A5187" t="s">
        <v>56</v>
      </c>
      <c r="B5187" t="s">
        <v>53</v>
      </c>
      <c r="C5187" t="s">
        <v>15971</v>
      </c>
      <c r="D5187" t="s">
        <v>15972</v>
      </c>
      <c r="E5187" t="s">
        <v>445</v>
      </c>
      <c r="F5187" t="s">
        <v>17</v>
      </c>
      <c r="G5187" t="s">
        <v>24</v>
      </c>
      <c r="H5187">
        <f>14130*(1.01^10)</f>
        <v>15608.310632060324</v>
      </c>
      <c r="I5187">
        <f>52353*(1.01^10)</f>
        <v>57830.282131652799</v>
      </c>
      <c r="J5187" t="s">
        <v>15973</v>
      </c>
      <c r="K5187">
        <f t="shared" ref="K5187:K5250" si="81">I5187/J5187</f>
        <v>345.77768074762349</v>
      </c>
    </row>
    <row r="5188" spans="1:11" x14ac:dyDescent="0.2">
      <c r="A5188" t="s">
        <v>56</v>
      </c>
      <c r="B5188" t="s">
        <v>53</v>
      </c>
      <c r="C5188" t="s">
        <v>15974</v>
      </c>
      <c r="D5188" t="s">
        <v>15975</v>
      </c>
      <c r="E5188" t="s">
        <v>726</v>
      </c>
      <c r="F5188" t="s">
        <v>24</v>
      </c>
      <c r="G5188" t="s">
        <v>24</v>
      </c>
      <c r="H5188">
        <f>19333*(1.01^10)</f>
        <v>21355.659550574823</v>
      </c>
      <c r="I5188">
        <f>79343*(1.01^10)</f>
        <v>87644.03329650122</v>
      </c>
      <c r="J5188" t="s">
        <v>15976</v>
      </c>
      <c r="K5188">
        <f t="shared" si="81"/>
        <v>304.55757720359333</v>
      </c>
    </row>
    <row r="5189" spans="1:11" x14ac:dyDescent="0.2">
      <c r="A5189" t="s">
        <v>56</v>
      </c>
      <c r="B5189" t="s">
        <v>53</v>
      </c>
      <c r="C5189" t="s">
        <v>15977</v>
      </c>
      <c r="D5189" t="s">
        <v>15978</v>
      </c>
      <c r="E5189" t="s">
        <v>726</v>
      </c>
      <c r="F5189" t="s">
        <v>17</v>
      </c>
      <c r="G5189" t="s">
        <v>24</v>
      </c>
      <c r="H5189">
        <f>9416*(1.01^10)</f>
        <v>10401.121932871903</v>
      </c>
      <c r="I5189">
        <f>38848*(1.01^10)</f>
        <v>42912.360327974478</v>
      </c>
      <c r="J5189" t="s">
        <v>15979</v>
      </c>
      <c r="K5189">
        <f t="shared" si="81"/>
        <v>109.63675397517048</v>
      </c>
    </row>
    <row r="5190" spans="1:11" x14ac:dyDescent="0.2">
      <c r="A5190" t="s">
        <v>56</v>
      </c>
      <c r="B5190" t="s">
        <v>53</v>
      </c>
      <c r="C5190" t="s">
        <v>15980</v>
      </c>
      <c r="D5190" t="s">
        <v>15981</v>
      </c>
      <c r="E5190" t="s">
        <v>77</v>
      </c>
      <c r="F5190" t="s">
        <v>17</v>
      </c>
      <c r="G5190" t="s">
        <v>24</v>
      </c>
      <c r="H5190">
        <f>7455*(1.01^10)</f>
        <v>8234.9579449405319</v>
      </c>
      <c r="I5190">
        <f>30964*(1.01^10)</f>
        <v>34203.519491232546</v>
      </c>
      <c r="J5190" t="s">
        <v>15982</v>
      </c>
      <c r="K5190">
        <f t="shared" si="81"/>
        <v>84.135399736248232</v>
      </c>
    </row>
    <row r="5191" spans="1:11" x14ac:dyDescent="0.2">
      <c r="A5191" t="s">
        <v>56</v>
      </c>
      <c r="B5191" t="s">
        <v>53</v>
      </c>
      <c r="C5191" t="s">
        <v>15983</v>
      </c>
      <c r="D5191" t="s">
        <v>15984</v>
      </c>
      <c r="E5191" t="s">
        <v>356</v>
      </c>
      <c r="F5191" t="s">
        <v>17</v>
      </c>
      <c r="G5191" t="s">
        <v>24</v>
      </c>
      <c r="H5191">
        <f>12967*(1.01^10)</f>
        <v>14323.635100207091</v>
      </c>
      <c r="I5191">
        <f>51062*(1.01^10)</f>
        <v>56404.214967746935</v>
      </c>
      <c r="J5191" t="s">
        <v>15985</v>
      </c>
      <c r="K5191">
        <f t="shared" si="81"/>
        <v>119.38151747181711</v>
      </c>
    </row>
    <row r="5192" spans="1:11" x14ac:dyDescent="0.2">
      <c r="A5192" t="s">
        <v>56</v>
      </c>
      <c r="B5192" t="s">
        <v>53</v>
      </c>
      <c r="C5192" t="s">
        <v>15986</v>
      </c>
      <c r="D5192" t="s">
        <v>15987</v>
      </c>
      <c r="E5192" t="s">
        <v>108</v>
      </c>
      <c r="F5192" t="s">
        <v>11</v>
      </c>
      <c r="G5192" t="s">
        <v>24</v>
      </c>
      <c r="H5192">
        <f>9146*(1.01^10)</f>
        <v>10102.873959010878</v>
      </c>
      <c r="I5192">
        <f>35080*(1.01^10)</f>
        <v>38750.144159425065</v>
      </c>
      <c r="J5192" t="s">
        <v>15988</v>
      </c>
      <c r="K5192">
        <f t="shared" si="81"/>
        <v>107.98724824274069</v>
      </c>
    </row>
    <row r="5193" spans="1:11" x14ac:dyDescent="0.2">
      <c r="A5193" t="s">
        <v>56</v>
      </c>
      <c r="B5193" t="s">
        <v>53</v>
      </c>
      <c r="C5193" t="s">
        <v>15989</v>
      </c>
      <c r="D5193" t="s">
        <v>15990</v>
      </c>
      <c r="E5193" t="s">
        <v>411</v>
      </c>
      <c r="F5193" t="s">
        <v>5</v>
      </c>
      <c r="G5193" t="s">
        <v>12</v>
      </c>
      <c r="H5193">
        <f>21881*(1.01^10)</f>
        <v>24170.23672612257</v>
      </c>
      <c r="I5193">
        <f>86133*(1.01^10)</f>
        <v>95144.417528043297</v>
      </c>
      <c r="J5193" t="s">
        <v>15991</v>
      </c>
      <c r="K5193">
        <f t="shared" si="81"/>
        <v>121.72720443187649</v>
      </c>
    </row>
    <row r="5194" spans="1:11" x14ac:dyDescent="0.2">
      <c r="A5194" t="s">
        <v>56</v>
      </c>
      <c r="B5194" t="s">
        <v>53</v>
      </c>
      <c r="C5194" t="s">
        <v>15992</v>
      </c>
      <c r="D5194" t="s">
        <v>15993</v>
      </c>
      <c r="E5194" t="s">
        <v>422</v>
      </c>
      <c r="F5194" t="s">
        <v>12</v>
      </c>
      <c r="G5194" t="s">
        <v>24</v>
      </c>
      <c r="H5194">
        <f>10684*(1.01^10)</f>
        <v>11801.782787893311</v>
      </c>
      <c r="I5194">
        <f>40517*(1.01^10)</f>
        <v>44755.974655285783</v>
      </c>
      <c r="J5194" t="s">
        <v>15994</v>
      </c>
      <c r="K5194">
        <f t="shared" si="81"/>
        <v>140.72237042921446</v>
      </c>
    </row>
    <row r="5195" spans="1:11" x14ac:dyDescent="0.2">
      <c r="A5195" t="s">
        <v>56</v>
      </c>
      <c r="B5195" t="s">
        <v>53</v>
      </c>
      <c r="C5195" t="s">
        <v>15995</v>
      </c>
      <c r="D5195" t="s">
        <v>15996</v>
      </c>
      <c r="E5195" t="s">
        <v>1340</v>
      </c>
      <c r="F5195" t="s">
        <v>92</v>
      </c>
      <c r="G5195" t="s">
        <v>24</v>
      </c>
      <c r="H5195">
        <f>8231*(1.01^10)</f>
        <v>9092.1447142596262</v>
      </c>
      <c r="I5195">
        <f>35951*(1.01^10)</f>
        <v>39712.270030658219</v>
      </c>
      <c r="J5195" t="s">
        <v>15997</v>
      </c>
      <c r="K5195">
        <f t="shared" si="81"/>
        <v>101.63286279179063</v>
      </c>
    </row>
    <row r="5196" spans="1:11" x14ac:dyDescent="0.2">
      <c r="A5196" t="s">
        <v>56</v>
      </c>
      <c r="B5196" t="s">
        <v>53</v>
      </c>
      <c r="C5196" t="s">
        <v>15998</v>
      </c>
      <c r="D5196" t="s">
        <v>15999</v>
      </c>
      <c r="E5196" t="s">
        <v>97</v>
      </c>
      <c r="F5196" t="s">
        <v>158</v>
      </c>
      <c r="G5196" t="s">
        <v>12</v>
      </c>
      <c r="H5196">
        <f>21421*(1.01^10)</f>
        <v>23662.110548433418</v>
      </c>
      <c r="I5196">
        <f>92466*(1.01^10)</f>
        <v>102139.98944827246</v>
      </c>
      <c r="J5196" t="s">
        <v>16000</v>
      </c>
      <c r="K5196">
        <f t="shared" si="81"/>
        <v>198.79015786672474</v>
      </c>
    </row>
    <row r="5197" spans="1:11" x14ac:dyDescent="0.2">
      <c r="A5197" t="s">
        <v>56</v>
      </c>
      <c r="B5197" t="s">
        <v>53</v>
      </c>
      <c r="C5197" t="s">
        <v>16001</v>
      </c>
      <c r="D5197" t="s">
        <v>16002</v>
      </c>
      <c r="E5197" t="s">
        <v>411</v>
      </c>
      <c r="F5197" t="s">
        <v>92</v>
      </c>
      <c r="G5197" t="s">
        <v>24</v>
      </c>
      <c r="H5197">
        <f>10336*(1.01^10)</f>
        <v>11417.374288250212</v>
      </c>
      <c r="I5197">
        <f>43004*(1.01^10)</f>
        <v>47503.16988118345</v>
      </c>
      <c r="J5197" t="s">
        <v>16003</v>
      </c>
      <c r="K5197">
        <f t="shared" si="81"/>
        <v>221.61147530071361</v>
      </c>
    </row>
    <row r="5198" spans="1:11" x14ac:dyDescent="0.2">
      <c r="A5198" t="s">
        <v>56</v>
      </c>
      <c r="B5198" t="s">
        <v>53</v>
      </c>
      <c r="C5198" t="s">
        <v>16004</v>
      </c>
      <c r="D5198" t="s">
        <v>16005</v>
      </c>
      <c r="E5198" t="s">
        <v>44</v>
      </c>
      <c r="F5198" t="s">
        <v>24</v>
      </c>
      <c r="G5198" t="s">
        <v>24</v>
      </c>
      <c r="H5198">
        <f>16616*(1.01^10)</f>
        <v>18354.401235832578</v>
      </c>
      <c r="I5198">
        <f>66186*(1.01^10)</f>
        <v>73110.519992465997</v>
      </c>
      <c r="J5198" t="s">
        <v>16006</v>
      </c>
      <c r="K5198">
        <f t="shared" si="81"/>
        <v>345.46031473231182</v>
      </c>
    </row>
    <row r="5199" spans="1:11" x14ac:dyDescent="0.2">
      <c r="A5199" t="s">
        <v>56</v>
      </c>
      <c r="B5199" t="s">
        <v>53</v>
      </c>
      <c r="C5199" t="s">
        <v>16007</v>
      </c>
      <c r="D5199" t="s">
        <v>16008</v>
      </c>
      <c r="E5199" t="s">
        <v>44</v>
      </c>
      <c r="F5199" t="s">
        <v>12</v>
      </c>
      <c r="G5199" t="s">
        <v>12</v>
      </c>
      <c r="H5199">
        <f>64690*(1.01^10)</f>
        <v>71458.005292850838</v>
      </c>
      <c r="I5199">
        <f>253122*(1.01^10)</f>
        <v>279604.16162833496</v>
      </c>
      <c r="J5199" t="s">
        <v>16009</v>
      </c>
      <c r="K5199">
        <f t="shared" si="81"/>
        <v>1371.9207082853527</v>
      </c>
    </row>
    <row r="5200" spans="1:11" x14ac:dyDescent="0.2">
      <c r="A5200" t="s">
        <v>56</v>
      </c>
      <c r="B5200" t="s">
        <v>53</v>
      </c>
      <c r="C5200" t="s">
        <v>16010</v>
      </c>
      <c r="D5200" t="s">
        <v>16011</v>
      </c>
      <c r="E5200" t="s">
        <v>6</v>
      </c>
      <c r="F5200" t="s">
        <v>24</v>
      </c>
      <c r="G5200" t="s">
        <v>24</v>
      </c>
      <c r="H5200">
        <f>13352*(1.01^10)</f>
        <v>14748.914618490406</v>
      </c>
      <c r="I5200">
        <f>50006*(1.01^10)</f>
        <v>55237.734003312704</v>
      </c>
      <c r="J5200" t="s">
        <v>16012</v>
      </c>
      <c r="K5200">
        <f t="shared" si="81"/>
        <v>332.2402502223419</v>
      </c>
    </row>
    <row r="5201" spans="1:11" x14ac:dyDescent="0.2">
      <c r="A5201" t="s">
        <v>56</v>
      </c>
      <c r="B5201" t="s">
        <v>53</v>
      </c>
      <c r="C5201" t="s">
        <v>16013</v>
      </c>
      <c r="D5201" t="s">
        <v>16014</v>
      </c>
      <c r="E5201" t="s">
        <v>318</v>
      </c>
      <c r="F5201" t="s">
        <v>11</v>
      </c>
      <c r="G5201" t="s">
        <v>24</v>
      </c>
      <c r="H5201">
        <f>16290*(1.01^10)</f>
        <v>17994.294422948526</v>
      </c>
      <c r="I5201">
        <f>62618*(1.01^10)</f>
        <v>69169.228248998814</v>
      </c>
      <c r="J5201" t="s">
        <v>16015</v>
      </c>
      <c r="K5201">
        <f t="shared" si="81"/>
        <v>342.075121016867</v>
      </c>
    </row>
    <row r="5202" spans="1:11" x14ac:dyDescent="0.2">
      <c r="A5202" t="s">
        <v>56</v>
      </c>
      <c r="B5202" t="s">
        <v>53</v>
      </c>
      <c r="C5202" t="s">
        <v>16016</v>
      </c>
      <c r="D5202" t="s">
        <v>16017</v>
      </c>
      <c r="E5202" t="s">
        <v>422</v>
      </c>
      <c r="F5202" t="s">
        <v>92</v>
      </c>
      <c r="G5202" t="s">
        <v>24</v>
      </c>
      <c r="H5202">
        <f>10882*(1.01^10)</f>
        <v>12020.497968724731</v>
      </c>
      <c r="I5202">
        <f>42866*(1.01^10)</f>
        <v>47350.7320278767</v>
      </c>
      <c r="J5202" t="s">
        <v>16018</v>
      </c>
      <c r="K5202">
        <f t="shared" si="81"/>
        <v>343.51021058790957</v>
      </c>
    </row>
    <row r="5203" spans="1:11" x14ac:dyDescent="0.2">
      <c r="A5203" t="s">
        <v>56</v>
      </c>
      <c r="B5203" t="s">
        <v>53</v>
      </c>
      <c r="C5203" t="s">
        <v>16019</v>
      </c>
      <c r="D5203" t="s">
        <v>16020</v>
      </c>
      <c r="E5203" t="s">
        <v>1340</v>
      </c>
      <c r="F5203" t="s">
        <v>12</v>
      </c>
      <c r="G5203" t="s">
        <v>24</v>
      </c>
      <c r="H5203">
        <f>10251*(1.01^10)</f>
        <v>11323.48140759026</v>
      </c>
      <c r="I5203">
        <f>43016*(1.01^10)</f>
        <v>47516.425346688382</v>
      </c>
      <c r="J5203" t="s">
        <v>16021</v>
      </c>
      <c r="K5203">
        <f t="shared" si="81"/>
        <v>140.10798031315448</v>
      </c>
    </row>
    <row r="5204" spans="1:11" x14ac:dyDescent="0.2">
      <c r="A5204" t="s">
        <v>56</v>
      </c>
      <c r="B5204" t="s">
        <v>53</v>
      </c>
      <c r="C5204" t="s">
        <v>16022</v>
      </c>
      <c r="D5204" t="s">
        <v>16023</v>
      </c>
      <c r="E5204" t="s">
        <v>356</v>
      </c>
      <c r="F5204" t="s">
        <v>11</v>
      </c>
      <c r="G5204" t="s">
        <v>24</v>
      </c>
      <c r="H5204">
        <f>8480*(1.01^10)</f>
        <v>9367.1956234870158</v>
      </c>
      <c r="I5204">
        <f>36985*(1.01^10)</f>
        <v>40854.449308333409</v>
      </c>
      <c r="J5204" t="s">
        <v>16024</v>
      </c>
      <c r="K5204">
        <f t="shared" si="81"/>
        <v>114.14251744924491</v>
      </c>
    </row>
    <row r="5205" spans="1:11" x14ac:dyDescent="0.2">
      <c r="A5205" t="s">
        <v>56</v>
      </c>
      <c r="B5205" t="s">
        <v>53</v>
      </c>
      <c r="C5205" t="s">
        <v>16025</v>
      </c>
      <c r="D5205" t="s">
        <v>16026</v>
      </c>
      <c r="E5205" t="s">
        <v>72</v>
      </c>
      <c r="F5205" t="s">
        <v>17</v>
      </c>
      <c r="G5205" t="s">
        <v>24</v>
      </c>
      <c r="H5205">
        <f>10777*(1.01^10)</f>
        <v>11904.512645556553</v>
      </c>
      <c r="I5205">
        <f>44953*(1.01^10)</f>
        <v>49656.078403609885</v>
      </c>
      <c r="J5205" t="s">
        <v>16027</v>
      </c>
      <c r="K5205">
        <f t="shared" si="81"/>
        <v>86.645664774136847</v>
      </c>
    </row>
    <row r="5206" spans="1:11" x14ac:dyDescent="0.2">
      <c r="A5206" t="s">
        <v>56</v>
      </c>
      <c r="B5206" t="s">
        <v>53</v>
      </c>
      <c r="C5206" t="s">
        <v>16028</v>
      </c>
      <c r="D5206" t="s">
        <v>16029</v>
      </c>
      <c r="E5206" t="s">
        <v>56</v>
      </c>
      <c r="F5206" t="s">
        <v>24</v>
      </c>
      <c r="G5206" t="s">
        <v>12</v>
      </c>
      <c r="H5206">
        <f>14897*(1.01^10)</f>
        <v>16455.555802250718</v>
      </c>
      <c r="I5206">
        <f>63017*(1.01^10)</f>
        <v>69609.972477037896</v>
      </c>
      <c r="J5206" t="s">
        <v>16030</v>
      </c>
      <c r="K5206">
        <f t="shared" si="81"/>
        <v>167.69004410690334</v>
      </c>
    </row>
    <row r="5207" spans="1:11" x14ac:dyDescent="0.2">
      <c r="A5207" t="s">
        <v>56</v>
      </c>
      <c r="B5207" t="s">
        <v>53</v>
      </c>
      <c r="C5207" t="s">
        <v>16031</v>
      </c>
      <c r="D5207" t="s">
        <v>16032</v>
      </c>
      <c r="E5207" t="s">
        <v>422</v>
      </c>
      <c r="F5207" t="s">
        <v>12</v>
      </c>
      <c r="G5207" t="s">
        <v>24</v>
      </c>
      <c r="H5207">
        <f>9353*(1.01^10)</f>
        <v>10331.530738970998</v>
      </c>
      <c r="I5207">
        <f>39855*(1.01^10)</f>
        <v>44024.714808263569</v>
      </c>
      <c r="J5207" t="s">
        <v>16033</v>
      </c>
      <c r="K5207">
        <f t="shared" si="81"/>
        <v>171.06099649699783</v>
      </c>
    </row>
    <row r="5208" spans="1:11" x14ac:dyDescent="0.2">
      <c r="A5208" t="s">
        <v>56</v>
      </c>
      <c r="B5208" t="s">
        <v>53</v>
      </c>
      <c r="C5208" t="s">
        <v>16034</v>
      </c>
      <c r="D5208" t="s">
        <v>14247</v>
      </c>
      <c r="E5208" t="s">
        <v>445</v>
      </c>
      <c r="F5208" t="s">
        <v>12</v>
      </c>
      <c r="G5208" t="s">
        <v>12</v>
      </c>
      <c r="H5208">
        <f>24116*(1.01^10)</f>
        <v>26639.067176416615</v>
      </c>
      <c r="I5208">
        <f>98769*(1.01^10)</f>
        <v>109102.42270473928</v>
      </c>
      <c r="J5208" t="s">
        <v>16035</v>
      </c>
      <c r="K5208">
        <f t="shared" si="81"/>
        <v>493.24745275528176</v>
      </c>
    </row>
    <row r="5209" spans="1:11" x14ac:dyDescent="0.2">
      <c r="A5209" t="s">
        <v>56</v>
      </c>
      <c r="B5209" t="s">
        <v>53</v>
      </c>
      <c r="C5209" t="s">
        <v>16036</v>
      </c>
      <c r="D5209" t="s">
        <v>16037</v>
      </c>
      <c r="E5209" t="s">
        <v>6</v>
      </c>
      <c r="F5209" t="s">
        <v>24</v>
      </c>
      <c r="G5209" t="s">
        <v>17</v>
      </c>
      <c r="H5209">
        <f>17272*(1.01^10)</f>
        <v>19079.033350102327</v>
      </c>
      <c r="I5209">
        <f>65784*(1.01^10)</f>
        <v>72666.461898050693</v>
      </c>
      <c r="J5209" t="s">
        <v>16038</v>
      </c>
      <c r="K5209">
        <f t="shared" si="81"/>
        <v>652.68337502956547</v>
      </c>
    </row>
    <row r="5210" spans="1:11" x14ac:dyDescent="0.2">
      <c r="A5210" t="s">
        <v>56</v>
      </c>
      <c r="B5210" t="s">
        <v>53</v>
      </c>
      <c r="C5210" t="s">
        <v>16039</v>
      </c>
      <c r="D5210" t="s">
        <v>16040</v>
      </c>
      <c r="E5210" t="s">
        <v>445</v>
      </c>
      <c r="F5210" t="s">
        <v>17</v>
      </c>
      <c r="G5210" t="s">
        <v>24</v>
      </c>
      <c r="H5210">
        <f>9333*(1.01^10)</f>
        <v>10309.438296462773</v>
      </c>
      <c r="I5210">
        <f>38094*(1.01^10)</f>
        <v>42079.475245414433</v>
      </c>
      <c r="J5210" t="s">
        <v>16041</v>
      </c>
      <c r="K5210">
        <f t="shared" si="81"/>
        <v>179.20780378380712</v>
      </c>
    </row>
    <row r="5211" spans="1:11" x14ac:dyDescent="0.2">
      <c r="A5211" t="s">
        <v>56</v>
      </c>
      <c r="B5211" t="s">
        <v>53</v>
      </c>
      <c r="C5211" t="s">
        <v>16042</v>
      </c>
      <c r="D5211" t="s">
        <v>16043</v>
      </c>
      <c r="E5211" t="s">
        <v>445</v>
      </c>
      <c r="F5211" t="s">
        <v>24</v>
      </c>
      <c r="G5211" t="s">
        <v>24</v>
      </c>
      <c r="H5211">
        <f>11540*(1.01^10)</f>
        <v>12747.339327245303</v>
      </c>
      <c r="I5211">
        <f>46883*(1.01^10)</f>
        <v>51787.999105653515</v>
      </c>
      <c r="J5211" t="s">
        <v>16044</v>
      </c>
      <c r="K5211">
        <f t="shared" si="81"/>
        <v>208.57700160259756</v>
      </c>
    </row>
    <row r="5212" spans="1:11" x14ac:dyDescent="0.2">
      <c r="A5212" t="s">
        <v>56</v>
      </c>
      <c r="B5212" t="s">
        <v>53</v>
      </c>
      <c r="C5212" t="s">
        <v>16045</v>
      </c>
      <c r="D5212" t="s">
        <v>16046</v>
      </c>
      <c r="E5212" t="s">
        <v>108</v>
      </c>
      <c r="F5212" t="s">
        <v>12</v>
      </c>
      <c r="G5212" t="s">
        <v>24</v>
      </c>
      <c r="H5212">
        <f>14240*(1.01^10)</f>
        <v>15729.819065855556</v>
      </c>
      <c r="I5212">
        <f>53918*(1.01^10)</f>
        <v>59559.015757921341</v>
      </c>
      <c r="J5212" t="s">
        <v>16047</v>
      </c>
      <c r="K5212">
        <f t="shared" si="81"/>
        <v>317.37534505125467</v>
      </c>
    </row>
    <row r="5213" spans="1:11" x14ac:dyDescent="0.2">
      <c r="A5213" t="s">
        <v>56</v>
      </c>
      <c r="B5213" t="s">
        <v>1163</v>
      </c>
      <c r="C5213" t="s">
        <v>16048</v>
      </c>
      <c r="D5213" t="s">
        <v>16049</v>
      </c>
      <c r="E5213" t="s">
        <v>1340</v>
      </c>
      <c r="F5213" t="s">
        <v>24</v>
      </c>
      <c r="G5213" t="s">
        <v>24</v>
      </c>
      <c r="H5213">
        <f>5547*(1.01^10)</f>
        <v>6127.3389296559526</v>
      </c>
      <c r="I5213">
        <f>22785*(1.01^10)</f>
        <v>25168.815127494301</v>
      </c>
      <c r="J5213" t="s">
        <v>16050</v>
      </c>
      <c r="K5213">
        <f t="shared" si="81"/>
        <v>65.938887317176182</v>
      </c>
    </row>
    <row r="5214" spans="1:11" x14ac:dyDescent="0.2">
      <c r="A5214" t="s">
        <v>56</v>
      </c>
      <c r="B5214" t="s">
        <v>1163</v>
      </c>
      <c r="C5214" t="s">
        <v>16051</v>
      </c>
      <c r="D5214" t="s">
        <v>16052</v>
      </c>
      <c r="E5214" t="s">
        <v>44</v>
      </c>
      <c r="F5214" t="s">
        <v>12</v>
      </c>
      <c r="G5214" t="s">
        <v>24</v>
      </c>
      <c r="H5214">
        <f>9020*(1.01^10)</f>
        <v>9963.6915712090668</v>
      </c>
      <c r="I5214">
        <f>36378*(1.01^10)</f>
        <v>40183.943678208809</v>
      </c>
      <c r="J5214" t="s">
        <v>16053</v>
      </c>
      <c r="K5214">
        <f t="shared" si="81"/>
        <v>105.74597905351953</v>
      </c>
    </row>
    <row r="5215" spans="1:11" x14ac:dyDescent="0.2">
      <c r="A5215" t="s">
        <v>56</v>
      </c>
      <c r="B5215" t="s">
        <v>1163</v>
      </c>
      <c r="C5215" t="s">
        <v>16054</v>
      </c>
      <c r="D5215" t="s">
        <v>16055</v>
      </c>
      <c r="E5215" t="s">
        <v>313</v>
      </c>
      <c r="F5215" t="s">
        <v>12</v>
      </c>
      <c r="G5215" t="s">
        <v>24</v>
      </c>
      <c r="H5215">
        <f>7725*(1.01^10)</f>
        <v>8533.2059188015573</v>
      </c>
      <c r="I5215">
        <f>32828*(1.01^10)</f>
        <v>36262.53513299903</v>
      </c>
      <c r="J5215" t="s">
        <v>16056</v>
      </c>
      <c r="K5215">
        <f t="shared" si="81"/>
        <v>104.60462772969595</v>
      </c>
    </row>
    <row r="5216" spans="1:11" x14ac:dyDescent="0.2">
      <c r="A5216" t="s">
        <v>56</v>
      </c>
      <c r="B5216" t="s">
        <v>1163</v>
      </c>
      <c r="C5216" t="s">
        <v>16057</v>
      </c>
      <c r="D5216" t="s">
        <v>16058</v>
      </c>
      <c r="E5216" t="s">
        <v>61</v>
      </c>
      <c r="F5216" t="s">
        <v>11</v>
      </c>
      <c r="G5216" t="s">
        <v>24</v>
      </c>
      <c r="H5216">
        <f>9817*(1.01^10)</f>
        <v>10844.075405161797</v>
      </c>
      <c r="I5216">
        <f>39007*(1.01^10)</f>
        <v>43087.995245914863</v>
      </c>
      <c r="J5216" t="s">
        <v>16059</v>
      </c>
      <c r="K5216">
        <f t="shared" si="81"/>
        <v>126.54483999213882</v>
      </c>
    </row>
    <row r="5217" spans="1:11" x14ac:dyDescent="0.2">
      <c r="A5217" t="s">
        <v>56</v>
      </c>
      <c r="B5217" t="s">
        <v>1163</v>
      </c>
      <c r="C5217" t="s">
        <v>16060</v>
      </c>
      <c r="D5217" t="s">
        <v>16061</v>
      </c>
      <c r="E5217" t="s">
        <v>382</v>
      </c>
      <c r="F5217" t="s">
        <v>24</v>
      </c>
      <c r="G5217" t="s">
        <v>24</v>
      </c>
      <c r="H5217">
        <f>12252*(1.01^10)</f>
        <v>13533.830280538081</v>
      </c>
      <c r="I5217">
        <f>45853*(1.01^10)</f>
        <v>50650.238316479968</v>
      </c>
      <c r="J5217" t="s">
        <v>16062</v>
      </c>
      <c r="K5217">
        <f t="shared" si="81"/>
        <v>167.21075131793472</v>
      </c>
    </row>
    <row r="5218" spans="1:11" x14ac:dyDescent="0.2">
      <c r="A5218" t="s">
        <v>56</v>
      </c>
      <c r="B5218" t="s">
        <v>1163</v>
      </c>
      <c r="C5218" t="s">
        <v>16063</v>
      </c>
      <c r="D5218" t="s">
        <v>16064</v>
      </c>
      <c r="E5218" t="s">
        <v>274</v>
      </c>
      <c r="F5218" t="s">
        <v>24</v>
      </c>
      <c r="G5218" t="s">
        <v>12</v>
      </c>
      <c r="H5218">
        <f>38990*(1.01^10)</f>
        <v>43069.216669782872</v>
      </c>
      <c r="I5218">
        <f>150333*(1.01^10)</f>
        <v>166061.15797944265</v>
      </c>
      <c r="J5218" t="s">
        <v>16065</v>
      </c>
      <c r="K5218">
        <f t="shared" si="81"/>
        <v>512.05816483450121</v>
      </c>
    </row>
    <row r="5219" spans="1:11" x14ac:dyDescent="0.2">
      <c r="A5219" t="s">
        <v>56</v>
      </c>
      <c r="B5219" t="s">
        <v>1163</v>
      </c>
      <c r="C5219" t="s">
        <v>16066</v>
      </c>
      <c r="D5219" t="s">
        <v>16067</v>
      </c>
      <c r="E5219" t="s">
        <v>382</v>
      </c>
      <c r="F5219" t="s">
        <v>24</v>
      </c>
      <c r="G5219" t="s">
        <v>24</v>
      </c>
      <c r="H5219">
        <f>13403*(1.01^10)</f>
        <v>14805.250346886378</v>
      </c>
      <c r="I5219">
        <f>49088*(1.01^10)</f>
        <v>54223.690892185215</v>
      </c>
      <c r="J5219" t="s">
        <v>16068</v>
      </c>
      <c r="K5219">
        <f t="shared" si="81"/>
        <v>297.76792142966161</v>
      </c>
    </row>
    <row r="5220" spans="1:11" x14ac:dyDescent="0.2">
      <c r="A5220" t="s">
        <v>56</v>
      </c>
      <c r="B5220" t="s">
        <v>1163</v>
      </c>
      <c r="C5220" t="s">
        <v>16069</v>
      </c>
      <c r="D5220" t="s">
        <v>16070</v>
      </c>
      <c r="E5220" t="s">
        <v>422</v>
      </c>
      <c r="F5220" t="s">
        <v>24</v>
      </c>
      <c r="G5220" t="s">
        <v>24</v>
      </c>
      <c r="H5220">
        <f>11476*(1.01^10)</f>
        <v>12676.643511218987</v>
      </c>
      <c r="I5220">
        <f>43954*(1.01^10)</f>
        <v>48552.560900324097</v>
      </c>
      <c r="J5220" t="s">
        <v>16071</v>
      </c>
      <c r="K5220">
        <f t="shared" si="81"/>
        <v>119.87005646236508</v>
      </c>
    </row>
    <row r="5221" spans="1:11" x14ac:dyDescent="0.2">
      <c r="A5221" t="s">
        <v>56</v>
      </c>
      <c r="B5221" t="s">
        <v>1163</v>
      </c>
      <c r="C5221" t="s">
        <v>16072</v>
      </c>
      <c r="D5221" t="s">
        <v>16073</v>
      </c>
      <c r="E5221" t="s">
        <v>274</v>
      </c>
      <c r="F5221" t="s">
        <v>24</v>
      </c>
      <c r="G5221" t="s">
        <v>24</v>
      </c>
      <c r="H5221">
        <f>10407*(1.01^10)</f>
        <v>11495.802459154407</v>
      </c>
      <c r="I5221">
        <f>41392*(1.01^10)</f>
        <v>45722.519015020589</v>
      </c>
      <c r="J5221" t="s">
        <v>16074</v>
      </c>
      <c r="K5221">
        <f t="shared" si="81"/>
        <v>155.43497025583636</v>
      </c>
    </row>
    <row r="5222" spans="1:11" x14ac:dyDescent="0.2">
      <c r="A5222" t="s">
        <v>56</v>
      </c>
      <c r="B5222" t="s">
        <v>1163</v>
      </c>
      <c r="C5222" t="s">
        <v>16075</v>
      </c>
      <c r="D5222" t="s">
        <v>16076</v>
      </c>
      <c r="E5222" t="s">
        <v>274</v>
      </c>
      <c r="F5222" t="s">
        <v>12</v>
      </c>
      <c r="G5222" t="s">
        <v>24</v>
      </c>
      <c r="H5222">
        <f>6250*(1.01^10)</f>
        <v>6903.8882838200298</v>
      </c>
      <c r="I5222">
        <f>27291*(1.01^10)</f>
        <v>30146.242424597189</v>
      </c>
      <c r="J5222" t="s">
        <v>16077</v>
      </c>
      <c r="K5222">
        <f t="shared" si="81"/>
        <v>115.67734065080826</v>
      </c>
    </row>
    <row r="5223" spans="1:11" x14ac:dyDescent="0.2">
      <c r="A5223" t="s">
        <v>56</v>
      </c>
      <c r="B5223" t="s">
        <v>1163</v>
      </c>
      <c r="C5223" t="s">
        <v>16078</v>
      </c>
      <c r="D5223" t="s">
        <v>16079</v>
      </c>
      <c r="E5223" t="s">
        <v>1340</v>
      </c>
      <c r="F5223" t="s">
        <v>24</v>
      </c>
      <c r="G5223" t="s">
        <v>24</v>
      </c>
      <c r="H5223">
        <f>10875*(1.01^10)</f>
        <v>12012.765613846852</v>
      </c>
      <c r="I5223">
        <f>44698*(1.01^10)</f>
        <v>49374.399761630033</v>
      </c>
      <c r="J5223" t="s">
        <v>16080</v>
      </c>
      <c r="K5223">
        <f t="shared" si="81"/>
        <v>86.451921526553079</v>
      </c>
    </row>
    <row r="5224" spans="1:11" x14ac:dyDescent="0.2">
      <c r="A5224" t="s">
        <v>56</v>
      </c>
      <c r="B5224" t="s">
        <v>1163</v>
      </c>
      <c r="C5224" t="s">
        <v>16081</v>
      </c>
      <c r="D5224" t="s">
        <v>14384</v>
      </c>
      <c r="E5224" t="s">
        <v>1340</v>
      </c>
      <c r="F5224" t="s">
        <v>24</v>
      </c>
      <c r="G5224" t="s">
        <v>24</v>
      </c>
      <c r="H5224">
        <f>16029*(1.01^10)</f>
        <v>17705.988048216201</v>
      </c>
      <c r="I5224">
        <f>61217*(1.01^10)</f>
        <v>67621.652651297714</v>
      </c>
      <c r="J5224" t="s">
        <v>16082</v>
      </c>
      <c r="K5224">
        <f t="shared" si="81"/>
        <v>216.98185708589753</v>
      </c>
    </row>
    <row r="5225" spans="1:11" x14ac:dyDescent="0.2">
      <c r="A5225" t="s">
        <v>56</v>
      </c>
      <c r="B5225" t="s">
        <v>1163</v>
      </c>
      <c r="C5225" t="s">
        <v>16083</v>
      </c>
      <c r="D5225" t="s">
        <v>16084</v>
      </c>
      <c r="E5225" t="s">
        <v>61</v>
      </c>
      <c r="F5225" t="s">
        <v>24</v>
      </c>
      <c r="G5225" t="s">
        <v>24</v>
      </c>
      <c r="H5225">
        <f>9003*(1.01^10)</f>
        <v>9944.9129950770766</v>
      </c>
      <c r="I5225">
        <f>33620*(1.01^10)</f>
        <v>37137.395856324707</v>
      </c>
      <c r="J5225" t="s">
        <v>16085</v>
      </c>
      <c r="K5225">
        <f t="shared" si="81"/>
        <v>130.98720372066407</v>
      </c>
    </row>
    <row r="5226" spans="1:11" x14ac:dyDescent="0.2">
      <c r="A5226" t="s">
        <v>56</v>
      </c>
      <c r="B5226" t="s">
        <v>1163</v>
      </c>
      <c r="C5226" t="s">
        <v>16086</v>
      </c>
      <c r="D5226" t="s">
        <v>16087</v>
      </c>
      <c r="E5226" t="s">
        <v>796</v>
      </c>
      <c r="F5226" t="s">
        <v>24</v>
      </c>
      <c r="G5226" t="s">
        <v>24</v>
      </c>
      <c r="H5226">
        <f>10209*(1.01^10)</f>
        <v>11277.08727832299</v>
      </c>
      <c r="I5226">
        <f>37438*(1.01^10)</f>
        <v>41354.843131144684</v>
      </c>
      <c r="J5226" t="s">
        <v>16088</v>
      </c>
      <c r="K5226">
        <f t="shared" si="81"/>
        <v>163.8830812753036</v>
      </c>
    </row>
    <row r="5227" spans="1:11" x14ac:dyDescent="0.2">
      <c r="A5227" t="s">
        <v>56</v>
      </c>
      <c r="B5227" t="s">
        <v>1163</v>
      </c>
      <c r="C5227" t="s">
        <v>16089</v>
      </c>
      <c r="D5227" t="s">
        <v>16090</v>
      </c>
      <c r="E5227" t="s">
        <v>458</v>
      </c>
      <c r="F5227" t="s">
        <v>17</v>
      </c>
      <c r="G5227" t="s">
        <v>24</v>
      </c>
      <c r="H5227">
        <f>14853*(1.01^10)</f>
        <v>16406.952428732624</v>
      </c>
      <c r="I5227">
        <f>52602*(1.01^10)</f>
        <v>58105.333040880192</v>
      </c>
      <c r="J5227" t="s">
        <v>16091</v>
      </c>
      <c r="K5227">
        <f t="shared" si="81"/>
        <v>307.74670882473066</v>
      </c>
    </row>
    <row r="5228" spans="1:11" x14ac:dyDescent="0.2">
      <c r="A5228" t="s">
        <v>56</v>
      </c>
      <c r="B5228" t="s">
        <v>1163</v>
      </c>
      <c r="C5228" t="s">
        <v>16092</v>
      </c>
      <c r="D5228" t="s">
        <v>16093</v>
      </c>
      <c r="E5228" t="s">
        <v>405</v>
      </c>
      <c r="F5228" t="s">
        <v>24</v>
      </c>
      <c r="G5228" t="s">
        <v>24</v>
      </c>
      <c r="H5228">
        <f>13669*(1.01^10)</f>
        <v>15099.079832245758</v>
      </c>
      <c r="I5228">
        <f>47489*(1.01^10)</f>
        <v>52457.4001136527</v>
      </c>
      <c r="J5228" t="s">
        <v>16094</v>
      </c>
      <c r="K5228">
        <f t="shared" si="81"/>
        <v>304.28814847741575</v>
      </c>
    </row>
    <row r="5229" spans="1:11" x14ac:dyDescent="0.2">
      <c r="A5229" t="s">
        <v>56</v>
      </c>
      <c r="B5229" t="s">
        <v>1163</v>
      </c>
      <c r="C5229" t="s">
        <v>16095</v>
      </c>
      <c r="D5229" t="s">
        <v>16096</v>
      </c>
      <c r="E5229" t="s">
        <v>274</v>
      </c>
      <c r="F5229" t="s">
        <v>12</v>
      </c>
      <c r="G5229" t="s">
        <v>24</v>
      </c>
      <c r="H5229">
        <f>13376*(1.01^10)</f>
        <v>14775.425549500274</v>
      </c>
      <c r="I5229">
        <f>48820*(1.01^10)</f>
        <v>53927.652162575017</v>
      </c>
      <c r="J5229" t="s">
        <v>16097</v>
      </c>
      <c r="K5229">
        <f t="shared" si="81"/>
        <v>384.99126264131718</v>
      </c>
    </row>
    <row r="5230" spans="1:11" x14ac:dyDescent="0.2">
      <c r="A5230" t="s">
        <v>56</v>
      </c>
      <c r="B5230" t="s">
        <v>1163</v>
      </c>
      <c r="C5230" t="s">
        <v>16098</v>
      </c>
      <c r="D5230" t="s">
        <v>16099</v>
      </c>
      <c r="E5230" t="s">
        <v>318</v>
      </c>
      <c r="F5230" t="s">
        <v>24</v>
      </c>
      <c r="G5230" t="s">
        <v>24</v>
      </c>
      <c r="H5230">
        <f>21400*(1.01^10)</f>
        <v>23638.913483799781</v>
      </c>
      <c r="I5230">
        <f>78470*(1.01^10)</f>
        <v>86679.698181017244</v>
      </c>
      <c r="J5230" t="s">
        <v>16100</v>
      </c>
      <c r="K5230">
        <f t="shared" si="81"/>
        <v>674.95475099877183</v>
      </c>
    </row>
    <row r="5231" spans="1:11" x14ac:dyDescent="0.2">
      <c r="A5231" t="s">
        <v>56</v>
      </c>
      <c r="B5231" t="s">
        <v>1163</v>
      </c>
      <c r="C5231" t="s">
        <v>16101</v>
      </c>
      <c r="D5231" t="s">
        <v>14720</v>
      </c>
      <c r="E5231" t="s">
        <v>44</v>
      </c>
      <c r="F5231" t="s">
        <v>12</v>
      </c>
      <c r="G5231" t="s">
        <v>24</v>
      </c>
      <c r="H5231">
        <f>12294*(1.01^10)</f>
        <v>13580.224409805351</v>
      </c>
      <c r="I5231">
        <f>44735*(1.01^10)</f>
        <v>49415.270780270243</v>
      </c>
      <c r="J5231" t="s">
        <v>16102</v>
      </c>
      <c r="K5231">
        <f t="shared" si="81"/>
        <v>304.41963545944446</v>
      </c>
    </row>
    <row r="5232" spans="1:11" x14ac:dyDescent="0.2">
      <c r="A5232" t="s">
        <v>56</v>
      </c>
      <c r="B5232" t="s">
        <v>1163</v>
      </c>
      <c r="C5232" t="s">
        <v>16103</v>
      </c>
      <c r="D5232" t="s">
        <v>16104</v>
      </c>
      <c r="E5232" t="s">
        <v>445</v>
      </c>
      <c r="F5232" t="s">
        <v>24</v>
      </c>
      <c r="G5232" t="s">
        <v>24</v>
      </c>
      <c r="H5232">
        <f>8875*(1.01^10)</f>
        <v>9803.5213630244416</v>
      </c>
      <c r="I5232">
        <f>34630*(1.01^10)</f>
        <v>38253.064202990019</v>
      </c>
      <c r="J5232" t="s">
        <v>16105</v>
      </c>
      <c r="K5232">
        <f t="shared" si="81"/>
        <v>127.4528878413936</v>
      </c>
    </row>
    <row r="5233" spans="1:11" x14ac:dyDescent="0.2">
      <c r="A5233" t="s">
        <v>56</v>
      </c>
      <c r="B5233" t="s">
        <v>1163</v>
      </c>
      <c r="C5233" t="s">
        <v>16106</v>
      </c>
      <c r="D5233" t="s">
        <v>16107</v>
      </c>
      <c r="E5233" t="s">
        <v>445</v>
      </c>
      <c r="F5233" t="s">
        <v>12</v>
      </c>
      <c r="G5233" t="s">
        <v>24</v>
      </c>
      <c r="H5233">
        <f>11185*(1.01^10)</f>
        <v>12355.198472724325</v>
      </c>
      <c r="I5233">
        <f>42950*(1.01^10)</f>
        <v>47443.520286411243</v>
      </c>
      <c r="J5233" t="s">
        <v>16108</v>
      </c>
      <c r="K5233">
        <f t="shared" si="81"/>
        <v>158.01061865255323</v>
      </c>
    </row>
    <row r="5234" spans="1:11" x14ac:dyDescent="0.2">
      <c r="A5234" t="s">
        <v>56</v>
      </c>
      <c r="B5234" t="s">
        <v>1163</v>
      </c>
      <c r="C5234" t="s">
        <v>16109</v>
      </c>
      <c r="D5234" t="s">
        <v>16110</v>
      </c>
      <c r="E5234" t="s">
        <v>422</v>
      </c>
      <c r="F5234" t="s">
        <v>17</v>
      </c>
      <c r="G5234" t="s">
        <v>24</v>
      </c>
      <c r="H5234">
        <f>11341*(1.01^10)</f>
        <v>12527.519524288473</v>
      </c>
      <c r="I5234">
        <f>43242*(1.01^10)</f>
        <v>47766.069947031312</v>
      </c>
      <c r="J5234" t="s">
        <v>16111</v>
      </c>
      <c r="K5234">
        <f t="shared" si="81"/>
        <v>124.02630421763246</v>
      </c>
    </row>
    <row r="5235" spans="1:11" x14ac:dyDescent="0.2">
      <c r="A5235" t="s">
        <v>56</v>
      </c>
      <c r="B5235" t="s">
        <v>1163</v>
      </c>
      <c r="C5235" t="s">
        <v>16112</v>
      </c>
      <c r="D5235" t="s">
        <v>16113</v>
      </c>
      <c r="E5235" t="s">
        <v>520</v>
      </c>
      <c r="F5235" t="s">
        <v>92</v>
      </c>
      <c r="G5235" t="s">
        <v>24</v>
      </c>
      <c r="H5235">
        <f>11639*(1.01^10)</f>
        <v>12856.696917661013</v>
      </c>
      <c r="I5235">
        <f>45747*(1.01^10)</f>
        <v>50533.148371186384</v>
      </c>
      <c r="J5235" t="s">
        <v>16114</v>
      </c>
      <c r="K5235">
        <f t="shared" si="81"/>
        <v>92.202604727826397</v>
      </c>
    </row>
    <row r="5236" spans="1:11" x14ac:dyDescent="0.2">
      <c r="A5236" t="s">
        <v>56</v>
      </c>
      <c r="B5236" t="s">
        <v>1163</v>
      </c>
      <c r="C5236" t="s">
        <v>16115</v>
      </c>
      <c r="D5236" t="s">
        <v>16116</v>
      </c>
      <c r="E5236" t="s">
        <v>72</v>
      </c>
      <c r="F5236" t="s">
        <v>24</v>
      </c>
      <c r="G5236" t="s">
        <v>24</v>
      </c>
      <c r="H5236">
        <f>18089*(1.01^10)</f>
        <v>19981.509626563282</v>
      </c>
      <c r="I5236">
        <f>68148*(1.01^10)</f>
        <v>75277.788602522778</v>
      </c>
      <c r="J5236" t="s">
        <v>16117</v>
      </c>
      <c r="K5236">
        <f t="shared" si="81"/>
        <v>173.63853463890845</v>
      </c>
    </row>
    <row r="5237" spans="1:11" x14ac:dyDescent="0.2">
      <c r="A5237" t="s">
        <v>56</v>
      </c>
      <c r="B5237" t="s">
        <v>1163</v>
      </c>
      <c r="C5237" t="s">
        <v>16118</v>
      </c>
      <c r="D5237" t="s">
        <v>16119</v>
      </c>
      <c r="E5237" t="s">
        <v>427</v>
      </c>
      <c r="F5237" t="s">
        <v>24</v>
      </c>
      <c r="G5237" t="s">
        <v>17</v>
      </c>
      <c r="H5237">
        <f>153027*(1.01^10)</f>
        <v>169037.00998530042</v>
      </c>
      <c r="I5237">
        <f>631791*(1.01^10)</f>
        <v>697890.3172356704</v>
      </c>
      <c r="J5237" t="s">
        <v>16120</v>
      </c>
      <c r="K5237">
        <f t="shared" si="81"/>
        <v>2034.0546321265845</v>
      </c>
    </row>
    <row r="5238" spans="1:11" x14ac:dyDescent="0.2">
      <c r="A5238" t="s">
        <v>56</v>
      </c>
      <c r="B5238" t="s">
        <v>1163</v>
      </c>
      <c r="C5238" t="s">
        <v>16121</v>
      </c>
      <c r="D5238" t="s">
        <v>16122</v>
      </c>
      <c r="E5238" t="s">
        <v>405</v>
      </c>
      <c r="F5238" t="s">
        <v>24</v>
      </c>
      <c r="G5238" t="s">
        <v>24</v>
      </c>
      <c r="H5238">
        <f>20948*(1.01^10)</f>
        <v>23139.624283113917</v>
      </c>
      <c r="I5238">
        <f>76598*(1.01^10)</f>
        <v>84611.845562247458</v>
      </c>
      <c r="J5238" t="s">
        <v>16123</v>
      </c>
      <c r="K5238">
        <f t="shared" si="81"/>
        <v>1012.9566138255007</v>
      </c>
    </row>
    <row r="5239" spans="1:11" x14ac:dyDescent="0.2">
      <c r="A5239" t="s">
        <v>56</v>
      </c>
      <c r="B5239" t="s">
        <v>1163</v>
      </c>
      <c r="C5239" t="s">
        <v>16124</v>
      </c>
      <c r="D5239" t="s">
        <v>16125</v>
      </c>
      <c r="E5239" t="s">
        <v>44</v>
      </c>
      <c r="F5239" t="s">
        <v>24</v>
      </c>
      <c r="G5239" t="s">
        <v>24</v>
      </c>
      <c r="H5239">
        <f>16687*(1.01^10)</f>
        <v>18432.829406736775</v>
      </c>
      <c r="I5239">
        <f>58543*(1.01^10)</f>
        <v>64667.893087948156</v>
      </c>
      <c r="J5239" t="s">
        <v>16126</v>
      </c>
      <c r="K5239">
        <f t="shared" si="81"/>
        <v>483.18086721535826</v>
      </c>
    </row>
    <row r="5240" spans="1:11" x14ac:dyDescent="0.2">
      <c r="A5240" t="s">
        <v>56</v>
      </c>
      <c r="B5240" t="s">
        <v>1163</v>
      </c>
      <c r="C5240" t="s">
        <v>16127</v>
      </c>
      <c r="D5240" t="s">
        <v>16128</v>
      </c>
      <c r="E5240" t="s">
        <v>422</v>
      </c>
      <c r="F5240" t="s">
        <v>24</v>
      </c>
      <c r="G5240" t="s">
        <v>24</v>
      </c>
      <c r="H5240">
        <f>14005*(1.01^10)</f>
        <v>15470.232866383922</v>
      </c>
      <c r="I5240">
        <f>50490*(1.01^10)</f>
        <v>55772.37111201173</v>
      </c>
      <c r="J5240" t="s">
        <v>16129</v>
      </c>
      <c r="K5240">
        <f t="shared" si="81"/>
        <v>370.74442161811072</v>
      </c>
    </row>
    <row r="5241" spans="1:11" x14ac:dyDescent="0.2">
      <c r="A5241" t="s">
        <v>56</v>
      </c>
      <c r="B5241" t="s">
        <v>1163</v>
      </c>
      <c r="C5241" t="s">
        <v>16130</v>
      </c>
      <c r="D5241" t="s">
        <v>16131</v>
      </c>
      <c r="E5241" t="s">
        <v>274</v>
      </c>
      <c r="F5241" t="s">
        <v>24</v>
      </c>
      <c r="G5241" t="s">
        <v>24</v>
      </c>
      <c r="H5241">
        <f>15911*(1.01^10)</f>
        <v>17575.642637417677</v>
      </c>
      <c r="I5241">
        <f>58003*(1.01^10)</f>
        <v>64071.397140226109</v>
      </c>
      <c r="J5241" t="s">
        <v>16132</v>
      </c>
      <c r="K5241">
        <f t="shared" si="81"/>
        <v>282.33526532912151</v>
      </c>
    </row>
    <row r="5242" spans="1:11" x14ac:dyDescent="0.2">
      <c r="A5242" t="s">
        <v>56</v>
      </c>
      <c r="B5242" t="s">
        <v>1163</v>
      </c>
      <c r="C5242" t="s">
        <v>16133</v>
      </c>
      <c r="D5242" t="s">
        <v>16134</v>
      </c>
      <c r="E5242" t="s">
        <v>422</v>
      </c>
      <c r="F5242" t="s">
        <v>24</v>
      </c>
      <c r="G5242" t="s">
        <v>24</v>
      </c>
      <c r="H5242">
        <f>17133*(1.01^10)</f>
        <v>18925.490874670169</v>
      </c>
      <c r="I5242">
        <f>61275*(1.01^10)</f>
        <v>67685.720734571572</v>
      </c>
      <c r="J5242" t="s">
        <v>16135</v>
      </c>
      <c r="K5242">
        <f t="shared" si="81"/>
        <v>217.39728607318949</v>
      </c>
    </row>
    <row r="5243" spans="1:11" x14ac:dyDescent="0.2">
      <c r="A5243" t="s">
        <v>56</v>
      </c>
      <c r="B5243" t="s">
        <v>1163</v>
      </c>
      <c r="C5243" t="s">
        <v>16136</v>
      </c>
      <c r="D5243" t="s">
        <v>16137</v>
      </c>
      <c r="E5243" t="s">
        <v>445</v>
      </c>
      <c r="F5243" t="s">
        <v>24</v>
      </c>
      <c r="G5243" t="s">
        <v>24</v>
      </c>
      <c r="H5243">
        <f>11155*(1.01^10)</f>
        <v>12322.059808961989</v>
      </c>
      <c r="I5243">
        <f>39074*(1.01^10)</f>
        <v>43162.004928317416</v>
      </c>
      <c r="J5243" t="s">
        <v>16138</v>
      </c>
      <c r="K5243">
        <f t="shared" si="81"/>
        <v>198.56701633549773</v>
      </c>
    </row>
    <row r="5244" spans="1:11" x14ac:dyDescent="0.2">
      <c r="A5244" t="s">
        <v>56</v>
      </c>
      <c r="B5244" t="s">
        <v>1163</v>
      </c>
      <c r="C5244" t="s">
        <v>16139</v>
      </c>
      <c r="D5244" t="s">
        <v>14736</v>
      </c>
      <c r="E5244" t="s">
        <v>1340</v>
      </c>
      <c r="F5244" t="s">
        <v>12</v>
      </c>
      <c r="G5244" t="s">
        <v>12</v>
      </c>
      <c r="H5244">
        <f>30915*(1.01^10)</f>
        <v>34149.393007087398</v>
      </c>
      <c r="I5244">
        <f>116330*(1.01^10)</f>
        <v>128500.69184908544</v>
      </c>
      <c r="J5244" t="s">
        <v>16140</v>
      </c>
      <c r="K5244">
        <f t="shared" si="81"/>
        <v>492.11790193405125</v>
      </c>
    </row>
    <row r="5245" spans="1:11" x14ac:dyDescent="0.2">
      <c r="A5245" t="s">
        <v>56</v>
      </c>
      <c r="B5245" t="s">
        <v>1163</v>
      </c>
      <c r="C5245" t="s">
        <v>16141</v>
      </c>
      <c r="D5245" t="s">
        <v>16142</v>
      </c>
      <c r="E5245" t="s">
        <v>97</v>
      </c>
      <c r="F5245" t="s">
        <v>11</v>
      </c>
      <c r="G5245" t="s">
        <v>24</v>
      </c>
      <c r="H5245">
        <f>11939*(1.01^10)</f>
        <v>13188.083555284373</v>
      </c>
      <c r="I5245">
        <f>43704*(1.01^10)</f>
        <v>48276.405368971289</v>
      </c>
      <c r="J5245" t="s">
        <v>16143</v>
      </c>
      <c r="K5245">
        <f t="shared" si="81"/>
        <v>144.61480701070997</v>
      </c>
    </row>
    <row r="5246" spans="1:11" x14ac:dyDescent="0.2">
      <c r="A5246" t="s">
        <v>56</v>
      </c>
      <c r="B5246" t="s">
        <v>1163</v>
      </c>
      <c r="C5246" t="s">
        <v>16144</v>
      </c>
      <c r="D5246" t="s">
        <v>16145</v>
      </c>
      <c r="E5246" t="s">
        <v>131</v>
      </c>
      <c r="F5246" t="s">
        <v>6</v>
      </c>
      <c r="G5246" t="s">
        <v>24</v>
      </c>
      <c r="H5246">
        <f>10846*(1.01^10)</f>
        <v>11980.731572209927</v>
      </c>
      <c r="I5246">
        <f>40452*(1.01^10)</f>
        <v>44684.174217134052</v>
      </c>
      <c r="J5246" t="s">
        <v>16146</v>
      </c>
      <c r="K5246">
        <f t="shared" si="81"/>
        <v>121.08406517606858</v>
      </c>
    </row>
    <row r="5247" spans="1:11" x14ac:dyDescent="0.2">
      <c r="A5247" t="s">
        <v>56</v>
      </c>
      <c r="B5247" t="s">
        <v>1163</v>
      </c>
      <c r="C5247" t="s">
        <v>16147</v>
      </c>
      <c r="D5247" t="s">
        <v>16148</v>
      </c>
      <c r="E5247" t="s">
        <v>1580</v>
      </c>
      <c r="F5247" t="s">
        <v>274</v>
      </c>
      <c r="G5247" t="s">
        <v>12</v>
      </c>
      <c r="H5247">
        <f>20485*(1.01^10)</f>
        <v>22628.184239048529</v>
      </c>
      <c r="I5247">
        <f>79588*(1.01^10)</f>
        <v>87914.665717226962</v>
      </c>
      <c r="J5247" t="s">
        <v>16149</v>
      </c>
      <c r="K5247">
        <f t="shared" si="81"/>
        <v>324.35452508457155</v>
      </c>
    </row>
    <row r="5248" spans="1:11" x14ac:dyDescent="0.2">
      <c r="A5248" t="s">
        <v>56</v>
      </c>
      <c r="B5248" t="s">
        <v>1163</v>
      </c>
      <c r="C5248" t="s">
        <v>16150</v>
      </c>
      <c r="D5248" t="s">
        <v>16151</v>
      </c>
      <c r="E5248" t="s">
        <v>333</v>
      </c>
      <c r="F5248" t="s">
        <v>92</v>
      </c>
      <c r="G5248" t="s">
        <v>24</v>
      </c>
      <c r="H5248">
        <f>9572*(1.01^10)</f>
        <v>10573.442984436051</v>
      </c>
      <c r="I5248">
        <f>33864*(1.01^10)</f>
        <v>37406.923654925034</v>
      </c>
      <c r="J5248" t="s">
        <v>16152</v>
      </c>
      <c r="K5248">
        <f t="shared" si="81"/>
        <v>146.24474270334963</v>
      </c>
    </row>
    <row r="5249" spans="1:11" x14ac:dyDescent="0.2">
      <c r="A5249" t="s">
        <v>56</v>
      </c>
      <c r="B5249" t="s">
        <v>1163</v>
      </c>
      <c r="C5249" t="s">
        <v>16153</v>
      </c>
      <c r="D5249" t="s">
        <v>16154</v>
      </c>
      <c r="E5249" t="s">
        <v>131</v>
      </c>
      <c r="F5249" t="s">
        <v>158</v>
      </c>
      <c r="G5249" t="s">
        <v>24</v>
      </c>
      <c r="H5249">
        <f>9570*(1.01^10)</f>
        <v>10571.233740185229</v>
      </c>
      <c r="I5249">
        <f>34528*(1.01^10)</f>
        <v>38140.392746198078</v>
      </c>
      <c r="J5249" t="s">
        <v>16155</v>
      </c>
      <c r="K5249">
        <f t="shared" si="81"/>
        <v>151.35520129647898</v>
      </c>
    </row>
    <row r="5250" spans="1:11" x14ac:dyDescent="0.2">
      <c r="A5250" t="s">
        <v>56</v>
      </c>
      <c r="B5250" t="s">
        <v>1163</v>
      </c>
      <c r="C5250" t="s">
        <v>16156</v>
      </c>
      <c r="D5250" t="s">
        <v>16157</v>
      </c>
      <c r="E5250" t="s">
        <v>56</v>
      </c>
      <c r="F5250" t="s">
        <v>17</v>
      </c>
      <c r="G5250" t="s">
        <v>24</v>
      </c>
      <c r="H5250">
        <f>15301*(1.01^10)</f>
        <v>16901.823140916844</v>
      </c>
      <c r="I5250">
        <f>53138*(1.01^10)</f>
        <v>58697.410500100596</v>
      </c>
      <c r="J5250" t="s">
        <v>16158</v>
      </c>
      <c r="K5250">
        <f t="shared" si="81"/>
        <v>207.38353968373295</v>
      </c>
    </row>
    <row r="5251" spans="1:11" x14ac:dyDescent="0.2">
      <c r="A5251" t="s">
        <v>56</v>
      </c>
      <c r="B5251" t="s">
        <v>1163</v>
      </c>
      <c r="C5251" t="s">
        <v>16159</v>
      </c>
      <c r="D5251" t="s">
        <v>10547</v>
      </c>
      <c r="E5251" t="s">
        <v>356</v>
      </c>
      <c r="F5251" t="s">
        <v>24</v>
      </c>
      <c r="G5251" t="s">
        <v>24</v>
      </c>
      <c r="H5251">
        <f>14682*(1.01^10)</f>
        <v>16218.062045287308</v>
      </c>
      <c r="I5251">
        <f>55226*(1.01^10)</f>
        <v>61003.861497959195</v>
      </c>
      <c r="J5251" t="s">
        <v>16160</v>
      </c>
      <c r="K5251">
        <f t="shared" ref="K5251:K5314" si="82">I5251/J5251</f>
        <v>374.16931865501715</v>
      </c>
    </row>
    <row r="5252" spans="1:11" x14ac:dyDescent="0.2">
      <c r="A5252" t="s">
        <v>56</v>
      </c>
      <c r="B5252" t="s">
        <v>1163</v>
      </c>
      <c r="C5252" t="s">
        <v>16161</v>
      </c>
      <c r="D5252" t="s">
        <v>16162</v>
      </c>
      <c r="E5252" t="s">
        <v>103</v>
      </c>
      <c r="F5252" t="s">
        <v>744</v>
      </c>
      <c r="G5252" t="s">
        <v>24</v>
      </c>
      <c r="H5252">
        <f>11031*(1.01^10)</f>
        <v>12185.086665411</v>
      </c>
      <c r="I5252">
        <f>37695*(1.01^10)</f>
        <v>41638.731017375365</v>
      </c>
      <c r="J5252" t="s">
        <v>16163</v>
      </c>
      <c r="K5252">
        <f t="shared" si="82"/>
        <v>174.58915661779074</v>
      </c>
    </row>
    <row r="5253" spans="1:11" x14ac:dyDescent="0.2">
      <c r="A5253" t="s">
        <v>56</v>
      </c>
      <c r="B5253" t="s">
        <v>1163</v>
      </c>
      <c r="C5253" t="s">
        <v>16164</v>
      </c>
      <c r="D5253" t="s">
        <v>16165</v>
      </c>
      <c r="E5253" t="s">
        <v>520</v>
      </c>
      <c r="F5253" t="s">
        <v>6</v>
      </c>
      <c r="G5253" t="s">
        <v>24</v>
      </c>
      <c r="H5253">
        <f>11041*(1.01^10)</f>
        <v>12196.132886665111</v>
      </c>
      <c r="I5253">
        <f>40241*(1.01^10)</f>
        <v>44451.09894867229</v>
      </c>
      <c r="J5253" t="s">
        <v>16166</v>
      </c>
      <c r="K5253">
        <f t="shared" si="82"/>
        <v>156.34098545515536</v>
      </c>
    </row>
    <row r="5254" spans="1:11" x14ac:dyDescent="0.2">
      <c r="A5254" t="s">
        <v>56</v>
      </c>
      <c r="B5254" t="s">
        <v>1163</v>
      </c>
      <c r="C5254" t="s">
        <v>16167</v>
      </c>
      <c r="D5254" t="s">
        <v>16168</v>
      </c>
      <c r="E5254" t="s">
        <v>1656</v>
      </c>
      <c r="F5254" t="s">
        <v>12</v>
      </c>
      <c r="G5254" t="s">
        <v>17</v>
      </c>
      <c r="H5254">
        <f>21075*(1.01^10)</f>
        <v>23279.911293041139</v>
      </c>
      <c r="I5254">
        <f>79648*(1.01^10)</f>
        <v>87980.943044751635</v>
      </c>
      <c r="J5254" t="s">
        <v>16169</v>
      </c>
      <c r="K5254">
        <f t="shared" si="82"/>
        <v>554.50371795195463</v>
      </c>
    </row>
    <row r="5255" spans="1:11" x14ac:dyDescent="0.2">
      <c r="A5255" t="s">
        <v>56</v>
      </c>
      <c r="B5255" t="s">
        <v>1163</v>
      </c>
      <c r="C5255" t="s">
        <v>16170</v>
      </c>
      <c r="D5255" t="s">
        <v>16171</v>
      </c>
      <c r="E5255" t="s">
        <v>56</v>
      </c>
      <c r="F5255" t="s">
        <v>24</v>
      </c>
      <c r="G5255" t="s">
        <v>24</v>
      </c>
      <c r="H5255">
        <f>9486*(1.01^10)</f>
        <v>10478.445481650688</v>
      </c>
      <c r="I5255">
        <f>34455*(1.01^10)</f>
        <v>38059.755331043059</v>
      </c>
      <c r="J5255" t="s">
        <v>16172</v>
      </c>
      <c r="K5255">
        <f t="shared" si="82"/>
        <v>225.72195246132719</v>
      </c>
    </row>
    <row r="5256" spans="1:11" x14ac:dyDescent="0.2">
      <c r="A5256" t="s">
        <v>56</v>
      </c>
      <c r="B5256" t="s">
        <v>1163</v>
      </c>
      <c r="C5256" t="s">
        <v>16173</v>
      </c>
      <c r="D5256" t="s">
        <v>16174</v>
      </c>
      <c r="E5256" t="s">
        <v>185</v>
      </c>
      <c r="F5256" t="s">
        <v>5</v>
      </c>
      <c r="G5256" t="s">
        <v>24</v>
      </c>
      <c r="H5256">
        <f>9875*(1.01^10)</f>
        <v>10908.143488435648</v>
      </c>
      <c r="I5256">
        <f>35971*(1.01^10)</f>
        <v>39734.362473166446</v>
      </c>
      <c r="J5256" t="s">
        <v>16175</v>
      </c>
      <c r="K5256">
        <f t="shared" si="82"/>
        <v>147.65119317409614</v>
      </c>
    </row>
    <row r="5257" spans="1:11" x14ac:dyDescent="0.2">
      <c r="A5257" t="s">
        <v>56</v>
      </c>
      <c r="B5257" t="s">
        <v>1163</v>
      </c>
      <c r="C5257" t="s">
        <v>16176</v>
      </c>
      <c r="D5257" t="s">
        <v>16177</v>
      </c>
      <c r="E5257" t="s">
        <v>142</v>
      </c>
      <c r="F5257" t="s">
        <v>11</v>
      </c>
      <c r="G5257" t="s">
        <v>17</v>
      </c>
      <c r="H5257">
        <f>22261*(1.01^10)</f>
        <v>24589.993133778829</v>
      </c>
      <c r="I5257">
        <f>83760*(1.01^10)</f>
        <v>92523.149224442503</v>
      </c>
      <c r="J5257" t="s">
        <v>16178</v>
      </c>
      <c r="K5257">
        <f t="shared" si="82"/>
        <v>228.01572926471249</v>
      </c>
    </row>
    <row r="5258" spans="1:11" x14ac:dyDescent="0.2">
      <c r="A5258" t="s">
        <v>56</v>
      </c>
      <c r="B5258" t="s">
        <v>1163</v>
      </c>
      <c r="C5258" t="s">
        <v>16179</v>
      </c>
      <c r="D5258" t="s">
        <v>16180</v>
      </c>
      <c r="E5258" t="s">
        <v>1340</v>
      </c>
      <c r="F5258" t="s">
        <v>11</v>
      </c>
      <c r="G5258" t="s">
        <v>12</v>
      </c>
      <c r="H5258">
        <f>12185*(1.01^10)</f>
        <v>13459.82059813553</v>
      </c>
      <c r="I5258">
        <f>46468*(1.01^10)</f>
        <v>51329.580923607864</v>
      </c>
      <c r="J5258" t="s">
        <v>16181</v>
      </c>
      <c r="K5258">
        <f t="shared" si="82"/>
        <v>102.69329366487666</v>
      </c>
    </row>
    <row r="5259" spans="1:11" x14ac:dyDescent="0.2">
      <c r="A5259" t="s">
        <v>56</v>
      </c>
      <c r="B5259" t="s">
        <v>1784</v>
      </c>
      <c r="C5259" t="s">
        <v>16182</v>
      </c>
      <c r="D5259" t="s">
        <v>16058</v>
      </c>
      <c r="E5259" t="s">
        <v>97</v>
      </c>
      <c r="F5259" t="s">
        <v>92</v>
      </c>
      <c r="G5259" t="s">
        <v>24</v>
      </c>
      <c r="H5259">
        <f>10799*(1.01^10)</f>
        <v>11928.8143323156</v>
      </c>
      <c r="I5259">
        <f>42093*(1.01^10)</f>
        <v>46496.859124933842</v>
      </c>
      <c r="J5259" t="s">
        <v>16183</v>
      </c>
      <c r="K5259">
        <f t="shared" si="82"/>
        <v>124.95824786856838</v>
      </c>
    </row>
    <row r="5260" spans="1:11" x14ac:dyDescent="0.2">
      <c r="A5260" t="s">
        <v>56</v>
      </c>
      <c r="B5260" t="s">
        <v>1784</v>
      </c>
      <c r="C5260" t="s">
        <v>16184</v>
      </c>
      <c r="D5260" t="s">
        <v>15582</v>
      </c>
      <c r="E5260" t="s">
        <v>726</v>
      </c>
      <c r="F5260" t="s">
        <v>17</v>
      </c>
      <c r="G5260" t="s">
        <v>17</v>
      </c>
      <c r="H5260">
        <f>10840*(1.01^10)</f>
        <v>11974.103839457459</v>
      </c>
      <c r="I5260">
        <f>41925*(1.01^10)</f>
        <v>46311.282607864756</v>
      </c>
      <c r="J5260" t="s">
        <v>16185</v>
      </c>
      <c r="K5260">
        <f t="shared" si="82"/>
        <v>126.87990157582871</v>
      </c>
    </row>
    <row r="5261" spans="1:11" x14ac:dyDescent="0.2">
      <c r="A5261" t="s">
        <v>56</v>
      </c>
      <c r="B5261" t="s">
        <v>1784</v>
      </c>
      <c r="C5261" t="s">
        <v>16186</v>
      </c>
      <c r="D5261" t="s">
        <v>16187</v>
      </c>
      <c r="E5261" t="s">
        <v>77</v>
      </c>
      <c r="F5261" t="s">
        <v>11</v>
      </c>
      <c r="G5261" t="s">
        <v>24</v>
      </c>
      <c r="H5261">
        <f>8469*(1.01^10)</f>
        <v>9355.0447801074934</v>
      </c>
      <c r="I5261">
        <f>32541*(1.01^10)</f>
        <v>35945.508583006012</v>
      </c>
      <c r="J5261" t="s">
        <v>16188</v>
      </c>
      <c r="K5261">
        <f t="shared" si="82"/>
        <v>120.64970417871724</v>
      </c>
    </row>
    <row r="5262" spans="1:11" x14ac:dyDescent="0.2">
      <c r="A5262" t="s">
        <v>56</v>
      </c>
      <c r="B5262" t="s">
        <v>1784</v>
      </c>
      <c r="C5262" t="s">
        <v>16189</v>
      </c>
      <c r="D5262" t="s">
        <v>15770</v>
      </c>
      <c r="E5262" t="s">
        <v>411</v>
      </c>
      <c r="F5262" t="s">
        <v>24</v>
      </c>
      <c r="G5262" t="s">
        <v>24</v>
      </c>
      <c r="H5262">
        <f>8627*(1.01^10)</f>
        <v>9529.5750759224629</v>
      </c>
      <c r="I5262">
        <f>32829*(1.01^10)</f>
        <v>36263.639755124437</v>
      </c>
      <c r="J5262" t="s">
        <v>16190</v>
      </c>
      <c r="K5262">
        <f t="shared" si="82"/>
        <v>206.69181836209094</v>
      </c>
    </row>
    <row r="5263" spans="1:11" x14ac:dyDescent="0.2">
      <c r="A5263" t="s">
        <v>56</v>
      </c>
      <c r="B5263" t="s">
        <v>1784</v>
      </c>
      <c r="C5263" t="s">
        <v>16191</v>
      </c>
      <c r="D5263" t="s">
        <v>16192</v>
      </c>
      <c r="E5263" t="s">
        <v>356</v>
      </c>
      <c r="F5263" t="s">
        <v>12</v>
      </c>
      <c r="G5263" t="s">
        <v>24</v>
      </c>
      <c r="H5263">
        <f>13461*(1.01^10)</f>
        <v>14869.318430160227</v>
      </c>
      <c r="I5263">
        <f>51872*(1.01^10)</f>
        <v>57298.95888933001</v>
      </c>
      <c r="J5263" t="s">
        <v>16193</v>
      </c>
      <c r="K5263">
        <f t="shared" si="82"/>
        <v>265.18700884874312</v>
      </c>
    </row>
    <row r="5264" spans="1:11" x14ac:dyDescent="0.2">
      <c r="A5264" t="s">
        <v>56</v>
      </c>
      <c r="B5264" t="s">
        <v>1784</v>
      </c>
      <c r="C5264" t="s">
        <v>16194</v>
      </c>
      <c r="D5264" t="s">
        <v>16195</v>
      </c>
      <c r="E5264" t="s">
        <v>274</v>
      </c>
      <c r="F5264" t="s">
        <v>12</v>
      </c>
      <c r="G5264" t="s">
        <v>24</v>
      </c>
      <c r="H5264">
        <f>20089*(1.01^10)</f>
        <v>22190.75387738569</v>
      </c>
      <c r="I5264">
        <f>81019*(1.01^10)</f>
        <v>89495.379978690398</v>
      </c>
      <c r="J5264" t="s">
        <v>16196</v>
      </c>
      <c r="K5264">
        <f t="shared" si="82"/>
        <v>205.84226685346553</v>
      </c>
    </row>
    <row r="5265" spans="1:11" x14ac:dyDescent="0.2">
      <c r="A5265" t="s">
        <v>56</v>
      </c>
      <c r="B5265" t="s">
        <v>1784</v>
      </c>
      <c r="C5265" t="s">
        <v>16197</v>
      </c>
      <c r="D5265" t="s">
        <v>16198</v>
      </c>
      <c r="E5265" t="s">
        <v>445</v>
      </c>
      <c r="F5265" t="s">
        <v>17</v>
      </c>
      <c r="G5265" t="s">
        <v>24</v>
      </c>
      <c r="H5265">
        <f>9269*(1.01^10)</f>
        <v>10238.742480436456</v>
      </c>
      <c r="I5265">
        <f>37278*(1.01^10)</f>
        <v>41178.103591078892</v>
      </c>
      <c r="J5265" t="s">
        <v>16199</v>
      </c>
      <c r="K5265">
        <f t="shared" si="82"/>
        <v>129.71817667433288</v>
      </c>
    </row>
    <row r="5266" spans="1:11" x14ac:dyDescent="0.2">
      <c r="A5266" t="s">
        <v>56</v>
      </c>
      <c r="B5266" t="s">
        <v>1784</v>
      </c>
      <c r="C5266" t="s">
        <v>16200</v>
      </c>
      <c r="D5266" t="s">
        <v>16201</v>
      </c>
      <c r="E5266" t="s">
        <v>44</v>
      </c>
      <c r="F5266" t="s">
        <v>5</v>
      </c>
      <c r="G5266" t="s">
        <v>24</v>
      </c>
      <c r="H5266">
        <f>7863*(1.01^10)</f>
        <v>8685.6437721083021</v>
      </c>
      <c r="I5266">
        <f>30532*(1.01^10)</f>
        <v>33726.322733054905</v>
      </c>
      <c r="J5266" t="s">
        <v>16202</v>
      </c>
      <c r="K5266">
        <f t="shared" si="82"/>
        <v>88.07227290645524</v>
      </c>
    </row>
    <row r="5267" spans="1:11" x14ac:dyDescent="0.2">
      <c r="A5267" t="s">
        <v>56</v>
      </c>
      <c r="B5267" t="s">
        <v>1784</v>
      </c>
      <c r="C5267" t="s">
        <v>16203</v>
      </c>
      <c r="D5267" t="s">
        <v>16204</v>
      </c>
      <c r="E5267" t="s">
        <v>61</v>
      </c>
      <c r="F5267" t="s">
        <v>12</v>
      </c>
      <c r="G5267" t="s">
        <v>24</v>
      </c>
      <c r="H5267">
        <f>8041*(1.01^10)</f>
        <v>8882.2665104314965</v>
      </c>
      <c r="I5267">
        <f>31296*(1.01^10)</f>
        <v>34570.254036869061</v>
      </c>
      <c r="J5267" t="s">
        <v>16205</v>
      </c>
      <c r="K5267">
        <f t="shared" si="82"/>
        <v>96.114649011136251</v>
      </c>
    </row>
    <row r="5268" spans="1:11" x14ac:dyDescent="0.2">
      <c r="A5268" t="s">
        <v>56</v>
      </c>
      <c r="B5268" t="s">
        <v>1784</v>
      </c>
      <c r="C5268" t="s">
        <v>16206</v>
      </c>
      <c r="D5268" t="s">
        <v>16207</v>
      </c>
      <c r="E5268" t="s">
        <v>427</v>
      </c>
      <c r="F5268" t="s">
        <v>92</v>
      </c>
      <c r="G5268" t="s">
        <v>24</v>
      </c>
      <c r="H5268">
        <f>14688*(1.01^10)</f>
        <v>16224.689778039776</v>
      </c>
      <c r="I5268">
        <f>57937*(1.01^10)</f>
        <v>63998.49207994897</v>
      </c>
      <c r="J5268" t="s">
        <v>16208</v>
      </c>
      <c r="K5268">
        <f t="shared" si="82"/>
        <v>179.28774488525241</v>
      </c>
    </row>
    <row r="5269" spans="1:11" x14ac:dyDescent="0.2">
      <c r="A5269" t="s">
        <v>56</v>
      </c>
      <c r="B5269" t="s">
        <v>1784</v>
      </c>
      <c r="C5269" t="s">
        <v>16209</v>
      </c>
      <c r="D5269" t="s">
        <v>16210</v>
      </c>
      <c r="E5269" t="s">
        <v>274</v>
      </c>
      <c r="F5269" t="s">
        <v>5</v>
      </c>
      <c r="G5269" t="s">
        <v>24</v>
      </c>
      <c r="H5269">
        <f>4900*(1.01^10)</f>
        <v>5412.6484145149034</v>
      </c>
      <c r="I5269">
        <f>20471*(1.01^10)</f>
        <v>22612.719529292772</v>
      </c>
      <c r="J5269" t="s">
        <v>16211</v>
      </c>
      <c r="K5269">
        <f t="shared" si="82"/>
        <v>171.43143864752781</v>
      </c>
    </row>
    <row r="5270" spans="1:11" x14ac:dyDescent="0.2">
      <c r="A5270" t="s">
        <v>56</v>
      </c>
      <c r="B5270" t="s">
        <v>1784</v>
      </c>
      <c r="C5270" t="s">
        <v>16212</v>
      </c>
      <c r="D5270" t="s">
        <v>16213</v>
      </c>
      <c r="E5270" t="s">
        <v>445</v>
      </c>
      <c r="F5270" t="s">
        <v>11</v>
      </c>
      <c r="G5270" t="s">
        <v>12</v>
      </c>
      <c r="H5270">
        <f>12291*(1.01^10)</f>
        <v>13576.910543429118</v>
      </c>
      <c r="I5270">
        <f>50136*(1.01^10)</f>
        <v>55381.334879616159</v>
      </c>
      <c r="J5270" t="s">
        <v>16214</v>
      </c>
      <c r="K5270">
        <f t="shared" si="82"/>
        <v>178.73726988564093</v>
      </c>
    </row>
    <row r="5271" spans="1:11" x14ac:dyDescent="0.2">
      <c r="A5271" t="s">
        <v>56</v>
      </c>
      <c r="B5271" t="s">
        <v>1784</v>
      </c>
      <c r="C5271" t="s">
        <v>16215</v>
      </c>
      <c r="D5271" t="s">
        <v>16216</v>
      </c>
      <c r="E5271" t="s">
        <v>6</v>
      </c>
      <c r="F5271" t="s">
        <v>5</v>
      </c>
      <c r="G5271" t="s">
        <v>24</v>
      </c>
      <c r="H5271">
        <f>14227*(1.01^10)</f>
        <v>15715.45897822521</v>
      </c>
      <c r="I5271">
        <f>59468*(1.01^10)</f>
        <v>65689.668553953525</v>
      </c>
      <c r="J5271" t="s">
        <v>16217</v>
      </c>
      <c r="K5271">
        <f t="shared" si="82"/>
        <v>134.86976534570044</v>
      </c>
    </row>
    <row r="5272" spans="1:11" x14ac:dyDescent="0.2">
      <c r="A5272" t="s">
        <v>56</v>
      </c>
      <c r="B5272" t="s">
        <v>1784</v>
      </c>
      <c r="C5272" t="s">
        <v>16218</v>
      </c>
      <c r="D5272" t="s">
        <v>16219</v>
      </c>
      <c r="E5272" t="s">
        <v>274</v>
      </c>
      <c r="F5272" t="s">
        <v>17</v>
      </c>
      <c r="G5272" t="s">
        <v>24</v>
      </c>
      <c r="H5272">
        <f>12751*(1.01^10)</f>
        <v>14085.036721118271</v>
      </c>
      <c r="I5272">
        <f>50320*(1.01^10)</f>
        <v>55584.585350691821</v>
      </c>
      <c r="J5272" t="s">
        <v>16220</v>
      </c>
      <c r="K5272">
        <f t="shared" si="82"/>
        <v>247.86524100726123</v>
      </c>
    </row>
    <row r="5273" spans="1:11" x14ac:dyDescent="0.2">
      <c r="A5273" t="s">
        <v>56</v>
      </c>
      <c r="B5273" t="s">
        <v>1784</v>
      </c>
      <c r="C5273" t="s">
        <v>16221</v>
      </c>
      <c r="D5273" t="s">
        <v>16222</v>
      </c>
      <c r="E5273" t="s">
        <v>411</v>
      </c>
      <c r="F5273" t="s">
        <v>17</v>
      </c>
      <c r="G5273" t="s">
        <v>24</v>
      </c>
      <c r="H5273">
        <f>11120*(1.01^10)</f>
        <v>12283.398034572598</v>
      </c>
      <c r="I5273">
        <f>41379*(1.01^10)</f>
        <v>45708.158927390243</v>
      </c>
      <c r="J5273" t="s">
        <v>16223</v>
      </c>
      <c r="K5273">
        <f t="shared" si="82"/>
        <v>350.70133822435736</v>
      </c>
    </row>
    <row r="5274" spans="1:11" x14ac:dyDescent="0.2">
      <c r="A5274" t="s">
        <v>56</v>
      </c>
      <c r="B5274" t="s">
        <v>1784</v>
      </c>
      <c r="C5274" t="s">
        <v>16224</v>
      </c>
      <c r="D5274" t="s">
        <v>16225</v>
      </c>
      <c r="E5274" t="s">
        <v>382</v>
      </c>
      <c r="F5274" t="s">
        <v>12</v>
      </c>
      <c r="G5274" t="s">
        <v>5</v>
      </c>
      <c r="H5274">
        <f>62226*(1.01^10)</f>
        <v>68736.216375837626</v>
      </c>
      <c r="I5274">
        <f>258879*(1.01^10)</f>
        <v>285963.47120432724</v>
      </c>
      <c r="J5274" t="s">
        <v>16226</v>
      </c>
      <c r="K5274">
        <f t="shared" si="82"/>
        <v>1564.6153379427878</v>
      </c>
    </row>
    <row r="5275" spans="1:11" x14ac:dyDescent="0.2">
      <c r="A5275" t="s">
        <v>56</v>
      </c>
      <c r="B5275" t="s">
        <v>1784</v>
      </c>
      <c r="C5275" t="s">
        <v>16227</v>
      </c>
      <c r="D5275" t="s">
        <v>16228</v>
      </c>
      <c r="E5275" t="s">
        <v>44</v>
      </c>
      <c r="F5275" t="s">
        <v>11</v>
      </c>
      <c r="G5275" t="s">
        <v>17</v>
      </c>
      <c r="H5275">
        <f>19908*(1.01^10)</f>
        <v>21990.817272686265</v>
      </c>
      <c r="I5275">
        <f>78326*(1.01^10)</f>
        <v>86520.63259495802</v>
      </c>
      <c r="J5275" t="s">
        <v>16229</v>
      </c>
      <c r="K5275">
        <f t="shared" si="82"/>
        <v>301.77317650357026</v>
      </c>
    </row>
    <row r="5276" spans="1:11" x14ac:dyDescent="0.2">
      <c r="A5276" t="s">
        <v>56</v>
      </c>
      <c r="B5276" t="s">
        <v>1784</v>
      </c>
      <c r="C5276" t="s">
        <v>16230</v>
      </c>
      <c r="D5276" t="s">
        <v>16231</v>
      </c>
      <c r="E5276" t="s">
        <v>1340</v>
      </c>
      <c r="F5276" t="s">
        <v>12</v>
      </c>
      <c r="G5276" t="s">
        <v>12</v>
      </c>
      <c r="H5276">
        <f>8570*(1.01^10)</f>
        <v>9466.6116147740249</v>
      </c>
      <c r="I5276">
        <f>34366*(1.01^10)</f>
        <v>37961.443961881465</v>
      </c>
      <c r="J5276" t="s">
        <v>16232</v>
      </c>
      <c r="K5276">
        <f t="shared" si="82"/>
        <v>115.84035698426398</v>
      </c>
    </row>
    <row r="5277" spans="1:11" x14ac:dyDescent="0.2">
      <c r="A5277" t="s">
        <v>56</v>
      </c>
      <c r="B5277" t="s">
        <v>1784</v>
      </c>
      <c r="C5277" t="s">
        <v>16233</v>
      </c>
      <c r="D5277" t="s">
        <v>16234</v>
      </c>
      <c r="E5277" t="s">
        <v>422</v>
      </c>
      <c r="F5277" t="s">
        <v>24</v>
      </c>
      <c r="G5277" t="s">
        <v>24</v>
      </c>
      <c r="H5277">
        <f>8534*(1.01^10)</f>
        <v>9426.8452182592209</v>
      </c>
      <c r="I5277">
        <f>32819*(1.01^10)</f>
        <v>36252.593533870328</v>
      </c>
      <c r="J5277" t="s">
        <v>16235</v>
      </c>
      <c r="K5277">
        <f t="shared" si="82"/>
        <v>121.35412440908512</v>
      </c>
    </row>
    <row r="5278" spans="1:11" x14ac:dyDescent="0.2">
      <c r="A5278" t="s">
        <v>56</v>
      </c>
      <c r="B5278" t="s">
        <v>1784</v>
      </c>
      <c r="C5278" t="s">
        <v>16236</v>
      </c>
      <c r="D5278" t="s">
        <v>16237</v>
      </c>
      <c r="E5278" t="s">
        <v>445</v>
      </c>
      <c r="F5278" t="s">
        <v>24</v>
      </c>
      <c r="G5278" t="s">
        <v>24</v>
      </c>
      <c r="H5278">
        <f>7681*(1.01^10)</f>
        <v>8484.6025452834638</v>
      </c>
      <c r="I5278">
        <f>29945*(1.01^10)</f>
        <v>33077.909545438524</v>
      </c>
      <c r="J5278" t="s">
        <v>16238</v>
      </c>
      <c r="K5278">
        <f t="shared" si="82"/>
        <v>114.87594303976672</v>
      </c>
    </row>
    <row r="5279" spans="1:11" x14ac:dyDescent="0.2">
      <c r="A5279" t="s">
        <v>56</v>
      </c>
      <c r="B5279" t="s">
        <v>1784</v>
      </c>
      <c r="C5279" t="s">
        <v>16239</v>
      </c>
      <c r="D5279" t="s">
        <v>16240</v>
      </c>
      <c r="E5279" t="s">
        <v>6</v>
      </c>
      <c r="F5279" t="s">
        <v>24</v>
      </c>
      <c r="G5279" t="s">
        <v>12</v>
      </c>
      <c r="H5279">
        <f>19932*(1.01^10)</f>
        <v>22017.328203696132</v>
      </c>
      <c r="I5279">
        <f>78884*(1.01^10)</f>
        <v>87137.01174093748</v>
      </c>
      <c r="J5279" t="s">
        <v>16241</v>
      </c>
      <c r="K5279">
        <f t="shared" si="82"/>
        <v>463.59083690857426</v>
      </c>
    </row>
    <row r="5280" spans="1:11" x14ac:dyDescent="0.2">
      <c r="A5280" t="s">
        <v>56</v>
      </c>
      <c r="B5280" t="s">
        <v>1784</v>
      </c>
      <c r="C5280" t="s">
        <v>16242</v>
      </c>
      <c r="D5280" t="s">
        <v>16243</v>
      </c>
      <c r="E5280" t="s">
        <v>382</v>
      </c>
      <c r="F5280" t="s">
        <v>24</v>
      </c>
      <c r="G5280" t="s">
        <v>24</v>
      </c>
      <c r="H5280">
        <f>7477*(1.01^10)</f>
        <v>8259.2596316995787</v>
      </c>
      <c r="I5280">
        <f>29160*(1.01^10)</f>
        <v>32210.781176990731</v>
      </c>
      <c r="J5280" t="s">
        <v>16244</v>
      </c>
      <c r="K5280">
        <f t="shared" si="82"/>
        <v>142.5848095040937</v>
      </c>
    </row>
    <row r="5281" spans="1:11" x14ac:dyDescent="0.2">
      <c r="A5281" t="s">
        <v>56</v>
      </c>
      <c r="B5281" t="s">
        <v>1784</v>
      </c>
      <c r="C5281" t="s">
        <v>16245</v>
      </c>
      <c r="D5281" t="s">
        <v>16246</v>
      </c>
      <c r="E5281" t="s">
        <v>44</v>
      </c>
      <c r="F5281" t="s">
        <v>12</v>
      </c>
      <c r="G5281" t="s">
        <v>24</v>
      </c>
      <c r="H5281">
        <f>6120*(1.01^10)</f>
        <v>6760.2874075165728</v>
      </c>
      <c r="I5281">
        <f>23964*(1.01^10)</f>
        <v>26471.164613354111</v>
      </c>
      <c r="J5281" t="s">
        <v>16247</v>
      </c>
      <c r="K5281">
        <f t="shared" si="82"/>
        <v>101.37413272545415</v>
      </c>
    </row>
    <row r="5282" spans="1:11" x14ac:dyDescent="0.2">
      <c r="A5282" t="s">
        <v>56</v>
      </c>
      <c r="B5282" t="s">
        <v>1784</v>
      </c>
      <c r="C5282" t="s">
        <v>16248</v>
      </c>
      <c r="D5282" t="s">
        <v>16249</v>
      </c>
      <c r="E5282" t="s">
        <v>445</v>
      </c>
      <c r="F5282" t="s">
        <v>12</v>
      </c>
      <c r="G5282" t="s">
        <v>24</v>
      </c>
      <c r="H5282">
        <f>8479*(1.01^10)</f>
        <v>9366.0910013616049</v>
      </c>
      <c r="I5282">
        <f>32910*(1.01^10)</f>
        <v>36353.114147282751</v>
      </c>
      <c r="J5282" t="s">
        <v>16250</v>
      </c>
      <c r="K5282">
        <f t="shared" si="82"/>
        <v>124.24639442003537</v>
      </c>
    </row>
    <row r="5283" spans="1:11" x14ac:dyDescent="0.2">
      <c r="A5283" t="s">
        <v>56</v>
      </c>
      <c r="B5283" t="s">
        <v>1784</v>
      </c>
      <c r="C5283" t="s">
        <v>16251</v>
      </c>
      <c r="D5283" t="s">
        <v>16252</v>
      </c>
      <c r="E5283" t="s">
        <v>274</v>
      </c>
      <c r="F5283" t="s">
        <v>24</v>
      </c>
      <c r="G5283" t="s">
        <v>12</v>
      </c>
      <c r="H5283">
        <f>19190*(1.01^10)</f>
        <v>21197.698586641018</v>
      </c>
      <c r="I5283">
        <f>77072*(1.01^10)</f>
        <v>85135.436449692366</v>
      </c>
      <c r="J5283" t="s">
        <v>16253</v>
      </c>
      <c r="K5283">
        <f t="shared" si="82"/>
        <v>369.7257368250722</v>
      </c>
    </row>
    <row r="5284" spans="1:11" x14ac:dyDescent="0.2">
      <c r="A5284" t="s">
        <v>56</v>
      </c>
      <c r="B5284" t="s">
        <v>1784</v>
      </c>
      <c r="C5284" t="s">
        <v>16254</v>
      </c>
      <c r="D5284" t="s">
        <v>16255</v>
      </c>
      <c r="E5284" t="s">
        <v>61</v>
      </c>
      <c r="F5284" t="s">
        <v>12</v>
      </c>
      <c r="G5284" t="s">
        <v>24</v>
      </c>
      <c r="H5284">
        <f>12664*(1.01^10)</f>
        <v>13988.934596207497</v>
      </c>
      <c r="I5284">
        <f>52168*(1.01^10)</f>
        <v>57625.927038451729</v>
      </c>
      <c r="J5284" t="s">
        <v>16256</v>
      </c>
      <c r="K5284">
        <f t="shared" si="82"/>
        <v>318.61679391917568</v>
      </c>
    </row>
    <row r="5285" spans="1:11" x14ac:dyDescent="0.2">
      <c r="A5285" t="s">
        <v>56</v>
      </c>
      <c r="B5285" t="s">
        <v>1784</v>
      </c>
      <c r="C5285" t="s">
        <v>16257</v>
      </c>
      <c r="D5285" t="s">
        <v>16258</v>
      </c>
      <c r="E5285" t="s">
        <v>44</v>
      </c>
      <c r="F5285" t="s">
        <v>5</v>
      </c>
      <c r="G5285" t="s">
        <v>24</v>
      </c>
      <c r="H5285">
        <f>7651*(1.01^10)</f>
        <v>8451.4638815211274</v>
      </c>
      <c r="I5285">
        <f>28873*(1.01^10)</f>
        <v>31893.754626997714</v>
      </c>
      <c r="J5285" t="s">
        <v>16259</v>
      </c>
      <c r="K5285">
        <f t="shared" si="82"/>
        <v>230.58947484803062</v>
      </c>
    </row>
    <row r="5286" spans="1:11" x14ac:dyDescent="0.2">
      <c r="A5286" t="s">
        <v>56</v>
      </c>
      <c r="B5286" t="s">
        <v>1784</v>
      </c>
      <c r="C5286" t="s">
        <v>16260</v>
      </c>
      <c r="D5286" t="s">
        <v>13689</v>
      </c>
      <c r="E5286" t="s">
        <v>458</v>
      </c>
      <c r="F5286" t="s">
        <v>24</v>
      </c>
      <c r="G5286" t="s">
        <v>24</v>
      </c>
      <c r="H5286">
        <f>9413*(1.01^10)</f>
        <v>10397.808066495671</v>
      </c>
      <c r="I5286">
        <f>36987*(1.01^10)</f>
        <v>40856.658552584231</v>
      </c>
      <c r="J5286" t="s">
        <v>16261</v>
      </c>
      <c r="K5286">
        <f t="shared" si="82"/>
        <v>413.45590939981639</v>
      </c>
    </row>
    <row r="5287" spans="1:11" x14ac:dyDescent="0.2">
      <c r="A5287" t="s">
        <v>56</v>
      </c>
      <c r="B5287" t="s">
        <v>1784</v>
      </c>
      <c r="C5287" t="s">
        <v>16262</v>
      </c>
      <c r="D5287" t="s">
        <v>16263</v>
      </c>
      <c r="E5287" t="s">
        <v>44</v>
      </c>
      <c r="F5287" t="s">
        <v>6</v>
      </c>
      <c r="G5287" t="s">
        <v>24</v>
      </c>
      <c r="H5287">
        <f>6172*(1.01^10)</f>
        <v>6817.7277580379559</v>
      </c>
      <c r="I5287">
        <f>24339*(1.01^10)</f>
        <v>26885.397910383312</v>
      </c>
      <c r="J5287" t="s">
        <v>16264</v>
      </c>
      <c r="K5287">
        <f t="shared" si="82"/>
        <v>75.897729930424489</v>
      </c>
    </row>
    <row r="5288" spans="1:11" x14ac:dyDescent="0.2">
      <c r="A5288" t="s">
        <v>56</v>
      </c>
      <c r="B5288" t="s">
        <v>1784</v>
      </c>
      <c r="C5288" t="s">
        <v>16265</v>
      </c>
      <c r="D5288" t="s">
        <v>16266</v>
      </c>
      <c r="E5288" t="s">
        <v>382</v>
      </c>
      <c r="F5288" t="s">
        <v>6</v>
      </c>
      <c r="G5288" t="s">
        <v>24</v>
      </c>
      <c r="H5288">
        <f>8112*(1.01^10)</f>
        <v>8960.6946813356935</v>
      </c>
      <c r="I5288">
        <f>33100*(1.01^10)</f>
        <v>36562.992351110879</v>
      </c>
      <c r="J5288" t="s">
        <v>16267</v>
      </c>
      <c r="K5288">
        <f t="shared" si="82"/>
        <v>96.15464019230329</v>
      </c>
    </row>
    <row r="5289" spans="1:11" x14ac:dyDescent="0.2">
      <c r="A5289" t="s">
        <v>56</v>
      </c>
      <c r="B5289" t="s">
        <v>1784</v>
      </c>
      <c r="C5289" t="s">
        <v>16268</v>
      </c>
      <c r="D5289" t="s">
        <v>16269</v>
      </c>
      <c r="E5289" t="s">
        <v>445</v>
      </c>
      <c r="F5289" t="s">
        <v>24</v>
      </c>
      <c r="G5289" t="s">
        <v>24</v>
      </c>
      <c r="H5289">
        <f>9168*(1.01^10)</f>
        <v>10127.175645769925</v>
      </c>
      <c r="I5289">
        <f>37452*(1.01^10)</f>
        <v>41370.307840900437</v>
      </c>
      <c r="J5289" t="s">
        <v>16270</v>
      </c>
      <c r="K5289">
        <f t="shared" si="82"/>
        <v>145.70649895823894</v>
      </c>
    </row>
    <row r="5290" spans="1:11" x14ac:dyDescent="0.2">
      <c r="A5290" t="s">
        <v>56</v>
      </c>
      <c r="B5290" t="s">
        <v>1784</v>
      </c>
      <c r="C5290" t="s">
        <v>16271</v>
      </c>
      <c r="D5290" t="s">
        <v>16272</v>
      </c>
      <c r="E5290" t="s">
        <v>24</v>
      </c>
      <c r="F5290" t="s">
        <v>24</v>
      </c>
      <c r="G5290" t="s">
        <v>12</v>
      </c>
      <c r="H5290">
        <f>71486*(1.01^10)</f>
        <v>78965.017257145388</v>
      </c>
      <c r="I5290">
        <f>318916*(1.01^10)</f>
        <v>352281.6697476398</v>
      </c>
      <c r="J5290" t="s">
        <v>16273</v>
      </c>
      <c r="K5290">
        <f t="shared" si="82"/>
        <v>3361.1455943864116</v>
      </c>
    </row>
    <row r="5291" spans="1:11" x14ac:dyDescent="0.2">
      <c r="A5291" t="s">
        <v>56</v>
      </c>
      <c r="B5291" t="s">
        <v>1784</v>
      </c>
      <c r="C5291" t="s">
        <v>16274</v>
      </c>
      <c r="D5291" t="s">
        <v>16275</v>
      </c>
      <c r="E5291" t="s">
        <v>44</v>
      </c>
      <c r="F5291" t="s">
        <v>17</v>
      </c>
      <c r="G5291" t="s">
        <v>24</v>
      </c>
      <c r="H5291">
        <f>13506*(1.01^10)</f>
        <v>14919.026425803731</v>
      </c>
      <c r="I5291">
        <f>54788*(1.01^10)</f>
        <v>60520.037007029088</v>
      </c>
      <c r="J5291" t="s">
        <v>16276</v>
      </c>
      <c r="K5291">
        <f t="shared" si="82"/>
        <v>189.78774519547892</v>
      </c>
    </row>
    <row r="5292" spans="1:11" x14ac:dyDescent="0.2">
      <c r="A5292" t="s">
        <v>56</v>
      </c>
      <c r="B5292" t="s">
        <v>1784</v>
      </c>
      <c r="C5292" t="s">
        <v>16277</v>
      </c>
      <c r="D5292" t="s">
        <v>16278</v>
      </c>
      <c r="E5292" t="s">
        <v>796</v>
      </c>
      <c r="F5292" t="s">
        <v>5</v>
      </c>
      <c r="G5292" t="s">
        <v>24</v>
      </c>
      <c r="H5292">
        <f>10926*(1.01^10)</f>
        <v>12069.101342242822</v>
      </c>
      <c r="I5292">
        <f>44008*(1.01^10)</f>
        <v>48612.210495096297</v>
      </c>
      <c r="J5292" t="s">
        <v>16279</v>
      </c>
      <c r="K5292">
        <f t="shared" si="82"/>
        <v>111.58324115182394</v>
      </c>
    </row>
    <row r="5293" spans="1:11" x14ac:dyDescent="0.2">
      <c r="A5293" t="s">
        <v>56</v>
      </c>
      <c r="B5293" t="s">
        <v>1784</v>
      </c>
      <c r="C5293" t="s">
        <v>16280</v>
      </c>
      <c r="D5293" t="s">
        <v>16281</v>
      </c>
      <c r="E5293" t="s">
        <v>108</v>
      </c>
      <c r="F5293" t="s">
        <v>24</v>
      </c>
      <c r="G5293" t="s">
        <v>24</v>
      </c>
      <c r="H5293">
        <f>13886*(1.01^10)</f>
        <v>15338.782833459989</v>
      </c>
      <c r="I5293">
        <f>61344*(1.01^10)</f>
        <v>67761.93966122494</v>
      </c>
      <c r="J5293" t="s">
        <v>16282</v>
      </c>
      <c r="K5293">
        <f t="shared" si="82"/>
        <v>313.19947703118549</v>
      </c>
    </row>
    <row r="5294" spans="1:11" x14ac:dyDescent="0.2">
      <c r="A5294" t="s">
        <v>56</v>
      </c>
      <c r="B5294" t="s">
        <v>1784</v>
      </c>
      <c r="C5294" t="s">
        <v>16283</v>
      </c>
      <c r="D5294" t="s">
        <v>16284</v>
      </c>
      <c r="E5294" t="s">
        <v>44</v>
      </c>
      <c r="F5294" t="s">
        <v>12</v>
      </c>
      <c r="G5294" t="s">
        <v>24</v>
      </c>
      <c r="H5294">
        <f>7920*(1.01^10)</f>
        <v>8748.6072332567419</v>
      </c>
      <c r="I5294">
        <f>31258*(1.01^10)</f>
        <v>34528.278396103437</v>
      </c>
      <c r="J5294" t="s">
        <v>16285</v>
      </c>
      <c r="K5294">
        <f t="shared" si="82"/>
        <v>74.639349470186517</v>
      </c>
    </row>
    <row r="5295" spans="1:11" x14ac:dyDescent="0.2">
      <c r="A5295" t="s">
        <v>56</v>
      </c>
      <c r="B5295" t="s">
        <v>1784</v>
      </c>
      <c r="C5295" t="s">
        <v>16286</v>
      </c>
      <c r="D5295" t="s">
        <v>16287</v>
      </c>
      <c r="E5295" t="s">
        <v>318</v>
      </c>
      <c r="F5295" t="s">
        <v>24</v>
      </c>
      <c r="G5295" t="s">
        <v>24</v>
      </c>
      <c r="H5295">
        <f>13275*(1.01^10)</f>
        <v>14663.858714833743</v>
      </c>
      <c r="I5295">
        <f>50833*(1.01^10)</f>
        <v>56151.256501027769</v>
      </c>
      <c r="J5295" t="s">
        <v>16288</v>
      </c>
      <c r="K5295">
        <f t="shared" si="82"/>
        <v>167.46069351345403</v>
      </c>
    </row>
    <row r="5296" spans="1:11" x14ac:dyDescent="0.2">
      <c r="A5296" t="s">
        <v>56</v>
      </c>
      <c r="B5296" t="s">
        <v>1784</v>
      </c>
      <c r="C5296" t="s">
        <v>16289</v>
      </c>
      <c r="D5296" t="s">
        <v>16290</v>
      </c>
      <c r="E5296" t="s">
        <v>744</v>
      </c>
      <c r="F5296" t="s">
        <v>24</v>
      </c>
      <c r="G5296" t="s">
        <v>24</v>
      </c>
      <c r="H5296">
        <f>8550*(1.01^10)</f>
        <v>9444.5191722658001</v>
      </c>
      <c r="I5296">
        <f>34515*(1.01^10)</f>
        <v>38126.032658567732</v>
      </c>
      <c r="J5296" t="s">
        <v>16291</v>
      </c>
      <c r="K5296">
        <f t="shared" si="82"/>
        <v>189.71863589555358</v>
      </c>
    </row>
    <row r="5297" spans="1:11" x14ac:dyDescent="0.2">
      <c r="A5297" t="s">
        <v>56</v>
      </c>
      <c r="B5297" t="s">
        <v>1784</v>
      </c>
      <c r="C5297" t="s">
        <v>16292</v>
      </c>
      <c r="D5297" t="s">
        <v>16293</v>
      </c>
      <c r="E5297" t="s">
        <v>108</v>
      </c>
      <c r="F5297" t="s">
        <v>24</v>
      </c>
      <c r="G5297" t="s">
        <v>24</v>
      </c>
      <c r="H5297">
        <f>9291*(1.01^10)</f>
        <v>10263.044167195503</v>
      </c>
      <c r="I5297">
        <f>37006*(1.01^10)</f>
        <v>40877.646372967043</v>
      </c>
      <c r="J5297" t="s">
        <v>16294</v>
      </c>
      <c r="K5297">
        <f t="shared" si="82"/>
        <v>166.83348822161042</v>
      </c>
    </row>
    <row r="5298" spans="1:11" x14ac:dyDescent="0.2">
      <c r="A5298" t="s">
        <v>56</v>
      </c>
      <c r="B5298" t="s">
        <v>1784</v>
      </c>
      <c r="C5298" t="s">
        <v>16295</v>
      </c>
      <c r="D5298" t="s">
        <v>16296</v>
      </c>
      <c r="E5298" t="s">
        <v>382</v>
      </c>
      <c r="F5298" t="s">
        <v>17</v>
      </c>
      <c r="G5298" t="s">
        <v>24</v>
      </c>
      <c r="H5298">
        <f>14127*(1.01^10)</f>
        <v>15604.996765684089</v>
      </c>
      <c r="I5298">
        <f>57140*(1.01^10)</f>
        <v>63118.108245996242</v>
      </c>
      <c r="J5298" t="s">
        <v>16297</v>
      </c>
      <c r="K5298">
        <f t="shared" si="82"/>
        <v>124.3177834503293</v>
      </c>
    </row>
    <row r="5299" spans="1:11" x14ac:dyDescent="0.2">
      <c r="A5299" t="s">
        <v>56</v>
      </c>
      <c r="B5299" t="s">
        <v>1784</v>
      </c>
      <c r="C5299" t="s">
        <v>16298</v>
      </c>
      <c r="D5299" t="s">
        <v>16299</v>
      </c>
      <c r="E5299" t="s">
        <v>318</v>
      </c>
      <c r="F5299" t="s">
        <v>17</v>
      </c>
      <c r="G5299" t="s">
        <v>17</v>
      </c>
      <c r="H5299">
        <f>28751*(1.01^10)</f>
        <v>31758.990727697546</v>
      </c>
      <c r="I5299">
        <f>124565*(1.01^10)</f>
        <v>137597.25505184673</v>
      </c>
      <c r="J5299" t="s">
        <v>16300</v>
      </c>
      <c r="K5299">
        <f t="shared" si="82"/>
        <v>647.17491726753008</v>
      </c>
    </row>
    <row r="5300" spans="1:11" x14ac:dyDescent="0.2">
      <c r="A5300" t="s">
        <v>56</v>
      </c>
      <c r="B5300" t="s">
        <v>1784</v>
      </c>
      <c r="C5300" t="s">
        <v>16301</v>
      </c>
      <c r="D5300" t="s">
        <v>16302</v>
      </c>
      <c r="E5300" t="s">
        <v>108</v>
      </c>
      <c r="F5300" t="s">
        <v>12</v>
      </c>
      <c r="G5300" t="s">
        <v>24</v>
      </c>
      <c r="H5300">
        <f>9000*(1.01^10)</f>
        <v>9941.5991287008419</v>
      </c>
      <c r="I5300">
        <f>35246*(1.01^10)</f>
        <v>38933.511432243322</v>
      </c>
      <c r="J5300" t="s">
        <v>16303</v>
      </c>
      <c r="K5300">
        <f t="shared" si="82"/>
        <v>179.56572832631289</v>
      </c>
    </row>
    <row r="5301" spans="1:11" x14ac:dyDescent="0.2">
      <c r="A5301" t="s">
        <v>56</v>
      </c>
      <c r="B5301" t="s">
        <v>1784</v>
      </c>
      <c r="C5301" t="s">
        <v>16304</v>
      </c>
      <c r="D5301" t="s">
        <v>16305</v>
      </c>
      <c r="E5301" t="s">
        <v>382</v>
      </c>
      <c r="F5301" t="s">
        <v>24</v>
      </c>
      <c r="G5301" t="s">
        <v>24</v>
      </c>
      <c r="H5301">
        <f>8864*(1.01^10)</f>
        <v>9791.3705196449191</v>
      </c>
      <c r="I5301">
        <f>35220*(1.01^10)</f>
        <v>38904.791256982629</v>
      </c>
      <c r="J5301" t="s">
        <v>16306</v>
      </c>
      <c r="K5301">
        <f t="shared" si="82"/>
        <v>89.031678670067294</v>
      </c>
    </row>
    <row r="5302" spans="1:11" x14ac:dyDescent="0.2">
      <c r="A5302" t="s">
        <v>56</v>
      </c>
      <c r="B5302" t="s">
        <v>1784</v>
      </c>
      <c r="C5302" t="s">
        <v>16307</v>
      </c>
      <c r="D5302" t="s">
        <v>16308</v>
      </c>
      <c r="E5302" t="s">
        <v>152</v>
      </c>
      <c r="F5302" t="s">
        <v>12</v>
      </c>
      <c r="G5302" t="s">
        <v>24</v>
      </c>
      <c r="H5302">
        <f>9006*(1.01^10)</f>
        <v>9948.2268614533095</v>
      </c>
      <c r="I5302">
        <f>35530*(1.01^10)</f>
        <v>39247.224115860103</v>
      </c>
      <c r="J5302" t="s">
        <v>16309</v>
      </c>
      <c r="K5302">
        <f t="shared" si="82"/>
        <v>147.48919866685176</v>
      </c>
    </row>
    <row r="5303" spans="1:11" x14ac:dyDescent="0.2">
      <c r="A5303" t="s">
        <v>56</v>
      </c>
      <c r="B5303" t="s">
        <v>1784</v>
      </c>
      <c r="C5303" t="s">
        <v>16310</v>
      </c>
      <c r="D5303" t="s">
        <v>16311</v>
      </c>
      <c r="E5303" t="s">
        <v>445</v>
      </c>
      <c r="F5303" t="s">
        <v>17</v>
      </c>
      <c r="G5303" t="s">
        <v>12</v>
      </c>
      <c r="H5303">
        <f>9545*(1.01^10)</f>
        <v>10543.618187049949</v>
      </c>
      <c r="I5303">
        <f>39902*(1.01^10)</f>
        <v>44076.632048157895</v>
      </c>
      <c r="J5303" t="s">
        <v>16312</v>
      </c>
      <c r="K5303">
        <f t="shared" si="82"/>
        <v>292.56709578606149</v>
      </c>
    </row>
    <row r="5304" spans="1:11" x14ac:dyDescent="0.2">
      <c r="A5304" t="s">
        <v>56</v>
      </c>
      <c r="B5304" t="s">
        <v>1784</v>
      </c>
      <c r="C5304" t="s">
        <v>16313</v>
      </c>
      <c r="D5304" t="s">
        <v>16314</v>
      </c>
      <c r="E5304" t="s">
        <v>726</v>
      </c>
      <c r="F5304" t="s">
        <v>92</v>
      </c>
      <c r="G5304" t="s">
        <v>24</v>
      </c>
      <c r="H5304">
        <f>10232*(1.01^10)</f>
        <v>11302.493587207447</v>
      </c>
      <c r="I5304">
        <f>42360*(1.01^10)</f>
        <v>46791.793232418633</v>
      </c>
      <c r="J5304" t="s">
        <v>16315</v>
      </c>
      <c r="K5304">
        <f t="shared" si="82"/>
        <v>103.2749531640679</v>
      </c>
    </row>
    <row r="5305" spans="1:11" x14ac:dyDescent="0.2">
      <c r="A5305" t="s">
        <v>56</v>
      </c>
      <c r="B5305" t="s">
        <v>1784</v>
      </c>
      <c r="C5305" t="s">
        <v>16316</v>
      </c>
      <c r="D5305" t="s">
        <v>16317</v>
      </c>
      <c r="E5305" t="s">
        <v>445</v>
      </c>
      <c r="F5305" t="s">
        <v>12</v>
      </c>
      <c r="G5305" t="s">
        <v>24</v>
      </c>
      <c r="H5305">
        <f>10764*(1.01^10)</f>
        <v>11890.152557926207</v>
      </c>
      <c r="I5305">
        <f>42104*(1.01^10)</f>
        <v>46509.009968313367</v>
      </c>
      <c r="J5305" t="s">
        <v>16318</v>
      </c>
      <c r="K5305">
        <f t="shared" si="82"/>
        <v>123.05264334417086</v>
      </c>
    </row>
    <row r="5306" spans="1:11" x14ac:dyDescent="0.2">
      <c r="A5306" t="s">
        <v>56</v>
      </c>
      <c r="B5306" t="s">
        <v>1784</v>
      </c>
      <c r="C5306" t="s">
        <v>16319</v>
      </c>
      <c r="D5306" t="s">
        <v>16320</v>
      </c>
      <c r="E5306" t="s">
        <v>796</v>
      </c>
      <c r="F5306" t="s">
        <v>12</v>
      </c>
      <c r="G5306" t="s">
        <v>12</v>
      </c>
      <c r="H5306">
        <f>24613*(1.01^10)</f>
        <v>27188.064372745983</v>
      </c>
      <c r="I5306">
        <f>103871*(1.01^10)</f>
        <v>114738.20478858725</v>
      </c>
      <c r="J5306" t="s">
        <v>16321</v>
      </c>
      <c r="K5306">
        <f t="shared" si="82"/>
        <v>380.14594789031889</v>
      </c>
    </row>
    <row r="5307" spans="1:11" x14ac:dyDescent="0.2">
      <c r="A5307" t="s">
        <v>56</v>
      </c>
      <c r="B5307" t="s">
        <v>1784</v>
      </c>
      <c r="C5307" t="s">
        <v>16322</v>
      </c>
      <c r="D5307" t="s">
        <v>16323</v>
      </c>
      <c r="E5307" t="s">
        <v>726</v>
      </c>
      <c r="F5307" t="s">
        <v>12</v>
      </c>
      <c r="G5307" t="s">
        <v>24</v>
      </c>
      <c r="H5307">
        <f>9400*(1.01^10)</f>
        <v>10383.447978865324</v>
      </c>
      <c r="I5307">
        <f>39434*(1.01^10)</f>
        <v>43559.668893465445</v>
      </c>
      <c r="J5307" t="s">
        <v>16324</v>
      </c>
      <c r="K5307">
        <f t="shared" si="82"/>
        <v>107.65057155927393</v>
      </c>
    </row>
    <row r="5308" spans="1:11" x14ac:dyDescent="0.2">
      <c r="A5308" t="s">
        <v>56</v>
      </c>
      <c r="B5308" t="s">
        <v>1784</v>
      </c>
      <c r="C5308" t="s">
        <v>16325</v>
      </c>
      <c r="D5308" t="s">
        <v>16326</v>
      </c>
      <c r="E5308" t="s">
        <v>458</v>
      </c>
      <c r="F5308" t="s">
        <v>12</v>
      </c>
      <c r="G5308" t="s">
        <v>12</v>
      </c>
      <c r="H5308">
        <f>12299*(1.01^10)</f>
        <v>13585.747520432407</v>
      </c>
      <c r="I5308">
        <f>53275*(1.01^10)</f>
        <v>58848.743731281931</v>
      </c>
      <c r="J5308" t="s">
        <v>16327</v>
      </c>
      <c r="K5308">
        <f t="shared" si="82"/>
        <v>127.0288196538288</v>
      </c>
    </row>
    <row r="5309" spans="1:11" x14ac:dyDescent="0.2">
      <c r="A5309" t="s">
        <v>56</v>
      </c>
      <c r="B5309" t="s">
        <v>1784</v>
      </c>
      <c r="C5309" t="s">
        <v>16328</v>
      </c>
      <c r="D5309" t="s">
        <v>16329</v>
      </c>
      <c r="E5309" t="s">
        <v>318</v>
      </c>
      <c r="F5309" t="s">
        <v>24</v>
      </c>
      <c r="G5309" t="s">
        <v>24</v>
      </c>
      <c r="H5309">
        <f>22031*(1.01^10)</f>
        <v>24335.930044934252</v>
      </c>
      <c r="I5309">
        <f>90814*(1.01^10)</f>
        <v>100315.15369709315</v>
      </c>
      <c r="J5309" t="s">
        <v>16330</v>
      </c>
      <c r="K5309">
        <f t="shared" si="82"/>
        <v>150.27871987354908</v>
      </c>
    </row>
    <row r="5310" spans="1:11" x14ac:dyDescent="0.2">
      <c r="A5310" t="s">
        <v>56</v>
      </c>
      <c r="B5310" t="s">
        <v>6050</v>
      </c>
      <c r="C5310" t="s">
        <v>16331</v>
      </c>
      <c r="D5310" t="s">
        <v>16332</v>
      </c>
      <c r="E5310" t="s">
        <v>422</v>
      </c>
      <c r="F5310" t="s">
        <v>24</v>
      </c>
      <c r="G5310" t="s">
        <v>24</v>
      </c>
      <c r="H5310">
        <f>12183*(1.01^10)</f>
        <v>13457.611353884708</v>
      </c>
      <c r="I5310">
        <f>61294*(1.01^10)</f>
        <v>67706.708554954384</v>
      </c>
      <c r="J5310" t="s">
        <v>16333</v>
      </c>
      <c r="K5310">
        <f t="shared" si="82"/>
        <v>357.20885180651442</v>
      </c>
    </row>
    <row r="5311" spans="1:11" x14ac:dyDescent="0.2">
      <c r="A5311" t="s">
        <v>56</v>
      </c>
      <c r="B5311" t="s">
        <v>6050</v>
      </c>
      <c r="C5311" t="s">
        <v>16334</v>
      </c>
      <c r="D5311" t="s">
        <v>16335</v>
      </c>
      <c r="E5311" t="s">
        <v>726</v>
      </c>
      <c r="F5311" t="s">
        <v>5</v>
      </c>
      <c r="G5311" t="s">
        <v>24</v>
      </c>
      <c r="H5311">
        <f>12770*(1.01^10)</f>
        <v>14106.024541501085</v>
      </c>
      <c r="I5311">
        <f>69275*(1.01^10)</f>
        <v>76522.697737861206</v>
      </c>
      <c r="J5311" t="s">
        <v>16336</v>
      </c>
      <c r="K5311">
        <f t="shared" si="82"/>
        <v>332.34133010376138</v>
      </c>
    </row>
    <row r="5312" spans="1:11" x14ac:dyDescent="0.2">
      <c r="A5312" t="s">
        <v>56</v>
      </c>
      <c r="B5312" t="s">
        <v>6050</v>
      </c>
      <c r="C5312" t="s">
        <v>16337</v>
      </c>
      <c r="D5312" t="s">
        <v>16338</v>
      </c>
      <c r="E5312" t="s">
        <v>97</v>
      </c>
      <c r="F5312" t="s">
        <v>17</v>
      </c>
      <c r="G5312" t="s">
        <v>24</v>
      </c>
      <c r="H5312">
        <f>15214*(1.01^10)</f>
        <v>16805.721016006068</v>
      </c>
      <c r="I5312">
        <f>78149*(1.01^10)</f>
        <v>86325.114478760239</v>
      </c>
      <c r="J5312" t="s">
        <v>16339</v>
      </c>
      <c r="K5312">
        <f t="shared" si="82"/>
        <v>223.03566276977782</v>
      </c>
    </row>
    <row r="5313" spans="1:11" x14ac:dyDescent="0.2">
      <c r="A5313" t="s">
        <v>56</v>
      </c>
      <c r="B5313" t="s">
        <v>6050</v>
      </c>
      <c r="C5313" t="s">
        <v>16340</v>
      </c>
      <c r="D5313" t="s">
        <v>16341</v>
      </c>
      <c r="E5313" t="s">
        <v>445</v>
      </c>
      <c r="F5313" t="s">
        <v>24</v>
      </c>
      <c r="G5313" t="s">
        <v>24</v>
      </c>
      <c r="H5313">
        <f>10906*(1.01^10)</f>
        <v>12047.008899734599</v>
      </c>
      <c r="I5313">
        <f>56966*(1.01^10)</f>
        <v>62925.903996174689</v>
      </c>
      <c r="J5313" t="s">
        <v>16342</v>
      </c>
      <c r="K5313">
        <f t="shared" si="82"/>
        <v>287.41679858736558</v>
      </c>
    </row>
    <row r="5314" spans="1:11" x14ac:dyDescent="0.2">
      <c r="A5314" t="s">
        <v>56</v>
      </c>
      <c r="B5314" t="s">
        <v>6050</v>
      </c>
      <c r="C5314" t="s">
        <v>16343</v>
      </c>
      <c r="D5314" t="s">
        <v>16344</v>
      </c>
      <c r="E5314" t="s">
        <v>445</v>
      </c>
      <c r="F5314" t="s">
        <v>12</v>
      </c>
      <c r="G5314" t="s">
        <v>12</v>
      </c>
      <c r="H5314">
        <f>33527*(1.01^10)</f>
        <v>37034.665998661461</v>
      </c>
      <c r="I5314">
        <f>169344*(1.01^10)</f>
        <v>187061.12920563505</v>
      </c>
      <c r="J5314" t="s">
        <v>16345</v>
      </c>
      <c r="K5314">
        <f t="shared" si="82"/>
        <v>592.37025426841865</v>
      </c>
    </row>
    <row r="5315" spans="1:11" x14ac:dyDescent="0.2">
      <c r="A5315" t="s">
        <v>56</v>
      </c>
      <c r="B5315" t="s">
        <v>6050</v>
      </c>
      <c r="C5315" t="s">
        <v>16346</v>
      </c>
      <c r="D5315" t="s">
        <v>16347</v>
      </c>
      <c r="E5315" t="s">
        <v>356</v>
      </c>
      <c r="F5315" t="s">
        <v>24</v>
      </c>
      <c r="G5315" t="s">
        <v>24</v>
      </c>
      <c r="H5315">
        <f>12266*(1.01^10)</f>
        <v>13549.294990293838</v>
      </c>
      <c r="I5315">
        <f>61215*(1.01^10)</f>
        <v>67619.4434070469</v>
      </c>
      <c r="J5315" t="s">
        <v>16348</v>
      </c>
      <c r="K5315">
        <f t="shared" ref="K5315:K5378" si="83">I5315/J5315</f>
        <v>255.54166326655459</v>
      </c>
    </row>
    <row r="5316" spans="1:11" x14ac:dyDescent="0.2">
      <c r="A5316" t="s">
        <v>56</v>
      </c>
      <c r="B5316" t="s">
        <v>6050</v>
      </c>
      <c r="C5316" t="s">
        <v>16349</v>
      </c>
      <c r="D5316" t="s">
        <v>16350</v>
      </c>
      <c r="E5316" t="s">
        <v>744</v>
      </c>
      <c r="F5316" t="s">
        <v>12</v>
      </c>
      <c r="G5316" t="s">
        <v>24</v>
      </c>
      <c r="H5316">
        <f>11858*(1.01^10)</f>
        <v>13098.609163126066</v>
      </c>
      <c r="I5316">
        <f>57167*(1.01^10)</f>
        <v>63147.933043382342</v>
      </c>
      <c r="J5316" t="s">
        <v>16351</v>
      </c>
      <c r="K5316">
        <f t="shared" si="83"/>
        <v>301.65424074918923</v>
      </c>
    </row>
    <row r="5317" spans="1:11" x14ac:dyDescent="0.2">
      <c r="A5317" t="s">
        <v>56</v>
      </c>
      <c r="B5317" t="s">
        <v>6050</v>
      </c>
      <c r="C5317" t="s">
        <v>16352</v>
      </c>
      <c r="D5317" t="s">
        <v>14736</v>
      </c>
      <c r="E5317" t="s">
        <v>108</v>
      </c>
      <c r="F5317" t="s">
        <v>24</v>
      </c>
      <c r="G5317" t="s">
        <v>24</v>
      </c>
      <c r="H5317">
        <f>9843*(1.01^10)</f>
        <v>10872.795580422488</v>
      </c>
      <c r="I5317">
        <f>46266*(1.01^10)</f>
        <v>51106.447254274797</v>
      </c>
      <c r="J5317" t="s">
        <v>16353</v>
      </c>
      <c r="K5317">
        <f t="shared" si="83"/>
        <v>311.87913055550109</v>
      </c>
    </row>
    <row r="5318" spans="1:11" x14ac:dyDescent="0.2">
      <c r="A5318" t="s">
        <v>56</v>
      </c>
      <c r="B5318" t="s">
        <v>6050</v>
      </c>
      <c r="C5318" t="s">
        <v>16354</v>
      </c>
      <c r="D5318" t="s">
        <v>14890</v>
      </c>
      <c r="E5318" t="s">
        <v>445</v>
      </c>
      <c r="F5318" t="s">
        <v>24</v>
      </c>
      <c r="G5318" t="s">
        <v>24</v>
      </c>
      <c r="H5318">
        <f>43910*(1.01^10)</f>
        <v>48503.957526806</v>
      </c>
      <c r="I5318">
        <f>196268*(1.01^10)</f>
        <v>216801.97531020633</v>
      </c>
      <c r="J5318" t="s">
        <v>16355</v>
      </c>
      <c r="K5318">
        <f t="shared" si="83"/>
        <v>624.09721930696628</v>
      </c>
    </row>
    <row r="5319" spans="1:11" x14ac:dyDescent="0.2">
      <c r="A5319" t="s">
        <v>56</v>
      </c>
      <c r="B5319" t="s">
        <v>6050</v>
      </c>
      <c r="C5319" t="s">
        <v>16356</v>
      </c>
      <c r="D5319" t="s">
        <v>16357</v>
      </c>
      <c r="E5319" t="s">
        <v>445</v>
      </c>
      <c r="F5319" t="s">
        <v>24</v>
      </c>
      <c r="G5319" t="s">
        <v>17</v>
      </c>
      <c r="H5319">
        <f>89000*(1.01^10)</f>
        <v>98311.36916159722</v>
      </c>
      <c r="I5319">
        <f>406797*(1.01^10)</f>
        <v>449356.96675090183</v>
      </c>
      <c r="J5319" t="s">
        <v>16358</v>
      </c>
      <c r="K5319">
        <f t="shared" si="83"/>
        <v>1319.4413168149417</v>
      </c>
    </row>
    <row r="5320" spans="1:11" x14ac:dyDescent="0.2">
      <c r="A5320" t="s">
        <v>56</v>
      </c>
      <c r="B5320" t="s">
        <v>6050</v>
      </c>
      <c r="C5320" t="s">
        <v>16359</v>
      </c>
      <c r="D5320" t="s">
        <v>16360</v>
      </c>
      <c r="E5320" t="s">
        <v>108</v>
      </c>
      <c r="F5320" t="s">
        <v>12</v>
      </c>
      <c r="G5320" t="s">
        <v>24</v>
      </c>
      <c r="H5320">
        <f>19499*(1.01^10)</f>
        <v>21539.02682339308</v>
      </c>
      <c r="I5320">
        <f>83748*(1.01^10)</f>
        <v>92509.893758937571</v>
      </c>
      <c r="J5320" t="s">
        <v>16361</v>
      </c>
      <c r="K5320">
        <f t="shared" si="83"/>
        <v>520.2165670314298</v>
      </c>
    </row>
    <row r="5321" spans="1:11" x14ac:dyDescent="0.2">
      <c r="A5321" t="s">
        <v>56</v>
      </c>
      <c r="B5321" t="s">
        <v>6050</v>
      </c>
      <c r="C5321" t="s">
        <v>16362</v>
      </c>
      <c r="D5321" t="s">
        <v>16363</v>
      </c>
      <c r="E5321" t="s">
        <v>158</v>
      </c>
      <c r="F5321" t="s">
        <v>5</v>
      </c>
      <c r="G5321" t="s">
        <v>24</v>
      </c>
      <c r="H5321">
        <f>8464*(1.01^10)</f>
        <v>9349.5216694804367</v>
      </c>
      <c r="I5321">
        <f>35267*(1.01^10)</f>
        <v>38956.708496876956</v>
      </c>
      <c r="J5321" t="s">
        <v>16364</v>
      </c>
      <c r="K5321">
        <f t="shared" si="83"/>
        <v>259.03560079330606</v>
      </c>
    </row>
    <row r="5322" spans="1:11" x14ac:dyDescent="0.2">
      <c r="A5322" t="s">
        <v>56</v>
      </c>
      <c r="B5322" t="s">
        <v>6050</v>
      </c>
      <c r="C5322" t="s">
        <v>16365</v>
      </c>
      <c r="D5322" t="s">
        <v>16366</v>
      </c>
      <c r="E5322" t="s">
        <v>405</v>
      </c>
      <c r="F5322" t="s">
        <v>12</v>
      </c>
      <c r="G5322" t="s">
        <v>24</v>
      </c>
      <c r="H5322">
        <f>8912*(1.01^10)</f>
        <v>9844.3923816646566</v>
      </c>
      <c r="I5322">
        <f>37666*(1.01^10)</f>
        <v>41606.696975738436</v>
      </c>
      <c r="J5322" t="s">
        <v>16367</v>
      </c>
      <c r="K5322">
        <f t="shared" si="83"/>
        <v>184.66659025126191</v>
      </c>
    </row>
    <row r="5323" spans="1:11" x14ac:dyDescent="0.2">
      <c r="A5323" t="s">
        <v>56</v>
      </c>
      <c r="B5323" t="s">
        <v>6050</v>
      </c>
      <c r="C5323" t="s">
        <v>16368</v>
      </c>
      <c r="D5323" t="s">
        <v>15335</v>
      </c>
      <c r="E5323" t="s">
        <v>458</v>
      </c>
      <c r="F5323" t="s">
        <v>17</v>
      </c>
      <c r="G5323" t="s">
        <v>24</v>
      </c>
      <c r="H5323">
        <f>7491*(1.01^10)</f>
        <v>8274.7243414553341</v>
      </c>
      <c r="I5323">
        <f>30362*(1.01^10)</f>
        <v>33538.536971734997</v>
      </c>
      <c r="J5323" t="s">
        <v>16369</v>
      </c>
      <c r="K5323">
        <f t="shared" si="83"/>
        <v>78.609666417828251</v>
      </c>
    </row>
    <row r="5324" spans="1:11" x14ac:dyDescent="0.2">
      <c r="A5324" t="s">
        <v>56</v>
      </c>
      <c r="B5324" t="s">
        <v>6050</v>
      </c>
      <c r="C5324" t="s">
        <v>16370</v>
      </c>
      <c r="D5324" t="s">
        <v>16371</v>
      </c>
      <c r="E5324" t="s">
        <v>11</v>
      </c>
      <c r="F5324" t="s">
        <v>24</v>
      </c>
      <c r="G5324" t="s">
        <v>12</v>
      </c>
      <c r="H5324">
        <f>7631*(1.01^10)</f>
        <v>8429.3714390129026</v>
      </c>
      <c r="I5324">
        <f>31834*(1.01^10)</f>
        <v>35164.540740340293</v>
      </c>
      <c r="J5324" t="s">
        <v>16372</v>
      </c>
      <c r="K5324">
        <f t="shared" si="83"/>
        <v>71.584355117012024</v>
      </c>
    </row>
    <row r="5325" spans="1:11" x14ac:dyDescent="0.2">
      <c r="A5325" t="s">
        <v>56</v>
      </c>
      <c r="B5325" t="s">
        <v>6050</v>
      </c>
      <c r="C5325" t="s">
        <v>16373</v>
      </c>
      <c r="D5325" t="s">
        <v>14384</v>
      </c>
      <c r="E5325" t="s">
        <v>382</v>
      </c>
      <c r="F5325" t="s">
        <v>17</v>
      </c>
      <c r="G5325" t="s">
        <v>24</v>
      </c>
      <c r="H5325">
        <f>18613*(1.01^10)</f>
        <v>20560.331620278754</v>
      </c>
      <c r="I5325">
        <f>76028*(1.01^10)</f>
        <v>83982.210950763081</v>
      </c>
      <c r="J5325" t="s">
        <v>16374</v>
      </c>
      <c r="K5325">
        <f t="shared" si="83"/>
        <v>168.36022274189611</v>
      </c>
    </row>
    <row r="5326" spans="1:11" x14ac:dyDescent="0.2">
      <c r="A5326" t="s">
        <v>56</v>
      </c>
      <c r="B5326" t="s">
        <v>6050</v>
      </c>
      <c r="C5326" t="s">
        <v>16375</v>
      </c>
      <c r="D5326" t="s">
        <v>16376</v>
      </c>
      <c r="E5326" t="s">
        <v>108</v>
      </c>
      <c r="F5326" t="s">
        <v>24</v>
      </c>
      <c r="G5326" t="s">
        <v>24</v>
      </c>
      <c r="H5326">
        <f>9930*(1.01^10)</f>
        <v>10968.897705333264</v>
      </c>
      <c r="I5326">
        <f>40358*(1.01^10)</f>
        <v>44580.339737345399</v>
      </c>
      <c r="J5326" t="s">
        <v>16377</v>
      </c>
      <c r="K5326">
        <f t="shared" si="83"/>
        <v>232.20579802581841</v>
      </c>
    </row>
    <row r="5327" spans="1:11" x14ac:dyDescent="0.2">
      <c r="A5327" t="s">
        <v>56</v>
      </c>
      <c r="B5327" t="s">
        <v>6050</v>
      </c>
      <c r="C5327" t="s">
        <v>16378</v>
      </c>
      <c r="D5327" t="s">
        <v>16379</v>
      </c>
      <c r="E5327" t="s">
        <v>411</v>
      </c>
      <c r="F5327" t="s">
        <v>24</v>
      </c>
      <c r="G5327" t="s">
        <v>24</v>
      </c>
      <c r="H5327">
        <f>9665*(1.01^10)</f>
        <v>10676.172842099293</v>
      </c>
      <c r="I5327">
        <f>41652*(1.01^10)</f>
        <v>46009.720767627499</v>
      </c>
      <c r="J5327" t="s">
        <v>16380</v>
      </c>
      <c r="K5327">
        <f t="shared" si="83"/>
        <v>150.56207477755825</v>
      </c>
    </row>
    <row r="5328" spans="1:11" x14ac:dyDescent="0.2">
      <c r="A5328" t="s">
        <v>56</v>
      </c>
      <c r="B5328" t="s">
        <v>6050</v>
      </c>
      <c r="C5328" t="s">
        <v>16381</v>
      </c>
      <c r="D5328" t="s">
        <v>16382</v>
      </c>
      <c r="E5328" t="s">
        <v>422</v>
      </c>
      <c r="F5328" t="s">
        <v>24</v>
      </c>
      <c r="G5328" t="s">
        <v>24</v>
      </c>
      <c r="H5328">
        <f>13031*(1.01^10)</f>
        <v>14394.33091623341</v>
      </c>
      <c r="I5328">
        <f>58437*(1.01^10)</f>
        <v>64550.803142654571</v>
      </c>
      <c r="J5328" t="s">
        <v>16383</v>
      </c>
      <c r="K5328">
        <f t="shared" si="83"/>
        <v>171.85736403004677</v>
      </c>
    </row>
    <row r="5329" spans="1:11" x14ac:dyDescent="0.2">
      <c r="A5329" t="s">
        <v>56</v>
      </c>
      <c r="B5329" t="s">
        <v>6050</v>
      </c>
      <c r="C5329" t="s">
        <v>16384</v>
      </c>
      <c r="D5329" t="s">
        <v>16385</v>
      </c>
      <c r="E5329" t="s">
        <v>405</v>
      </c>
      <c r="F5329" t="s">
        <v>24</v>
      </c>
      <c r="G5329" t="s">
        <v>24</v>
      </c>
      <c r="H5329">
        <f>15572*(1.01^10)</f>
        <v>17201.175736903282</v>
      </c>
      <c r="I5329">
        <f>74594*(1.01^10)</f>
        <v>82398.182822923409</v>
      </c>
      <c r="J5329" t="s">
        <v>16386</v>
      </c>
      <c r="K5329">
        <f t="shared" si="83"/>
        <v>351.48900560042733</v>
      </c>
    </row>
    <row r="5330" spans="1:11" x14ac:dyDescent="0.2">
      <c r="A5330" t="s">
        <v>56</v>
      </c>
      <c r="B5330" t="s">
        <v>6050</v>
      </c>
      <c r="C5330" t="s">
        <v>16387</v>
      </c>
      <c r="D5330" t="s">
        <v>16388</v>
      </c>
      <c r="E5330" t="s">
        <v>44</v>
      </c>
      <c r="F5330" t="s">
        <v>24</v>
      </c>
      <c r="G5330" t="s">
        <v>24</v>
      </c>
      <c r="H5330">
        <f>14578*(1.01^10)</f>
        <v>16103.181344244544</v>
      </c>
      <c r="I5330">
        <f>73873*(1.01^10)</f>
        <v>81601.750270501929</v>
      </c>
      <c r="J5330" t="s">
        <v>16389</v>
      </c>
      <c r="K5330">
        <f t="shared" si="83"/>
        <v>280.38686132598707</v>
      </c>
    </row>
    <row r="5331" spans="1:11" x14ac:dyDescent="0.2">
      <c r="A5331" t="s">
        <v>56</v>
      </c>
      <c r="B5331" t="s">
        <v>6050</v>
      </c>
      <c r="C5331" t="s">
        <v>16390</v>
      </c>
      <c r="D5331" t="s">
        <v>16391</v>
      </c>
      <c r="E5331" t="s">
        <v>1506</v>
      </c>
      <c r="F5331" t="s">
        <v>12</v>
      </c>
      <c r="G5331" t="s">
        <v>12</v>
      </c>
      <c r="H5331">
        <f>52503*(1.01^10)</f>
        <v>57995.975450464481</v>
      </c>
      <c r="I5331">
        <f>269286*(1.01^10)</f>
        <v>297459.2736634817</v>
      </c>
      <c r="J5331" t="s">
        <v>16392</v>
      </c>
      <c r="K5331">
        <f t="shared" si="83"/>
        <v>546.77767925171406</v>
      </c>
    </row>
    <row r="5332" spans="1:11" x14ac:dyDescent="0.2">
      <c r="A5332" t="s">
        <v>56</v>
      </c>
      <c r="B5332" t="s">
        <v>6050</v>
      </c>
      <c r="C5332" t="s">
        <v>16393</v>
      </c>
      <c r="D5332" t="s">
        <v>16394</v>
      </c>
      <c r="E5332" t="s">
        <v>422</v>
      </c>
      <c r="F5332" t="s">
        <v>24</v>
      </c>
      <c r="G5332" t="s">
        <v>24</v>
      </c>
      <c r="H5332">
        <f>9398*(1.01^10)</f>
        <v>10381.238734614502</v>
      </c>
      <c r="I5332">
        <f>50592*(1.01^10)</f>
        <v>55885.04256880367</v>
      </c>
      <c r="J5332" t="s">
        <v>16395</v>
      </c>
      <c r="K5332">
        <f t="shared" si="83"/>
        <v>164.86313063944891</v>
      </c>
    </row>
    <row r="5333" spans="1:11" x14ac:dyDescent="0.2">
      <c r="A5333" t="s">
        <v>56</v>
      </c>
      <c r="B5333" t="s">
        <v>6050</v>
      </c>
      <c r="C5333" t="s">
        <v>16396</v>
      </c>
      <c r="D5333" t="s">
        <v>16397</v>
      </c>
      <c r="E5333" t="s">
        <v>726</v>
      </c>
      <c r="F5333" t="s">
        <v>24</v>
      </c>
      <c r="G5333" t="s">
        <v>24</v>
      </c>
      <c r="H5333">
        <f>7582*(1.01^10)</f>
        <v>8375.2449548677541</v>
      </c>
      <c r="I5333">
        <f>41123*(1.01^10)</f>
        <v>45425.375663284976</v>
      </c>
      <c r="J5333" t="s">
        <v>16398</v>
      </c>
      <c r="K5333">
        <f t="shared" si="83"/>
        <v>164.54786594880633</v>
      </c>
    </row>
    <row r="5334" spans="1:11" x14ac:dyDescent="0.2">
      <c r="A5334" t="s">
        <v>56</v>
      </c>
      <c r="B5334" t="s">
        <v>6050</v>
      </c>
      <c r="C5334" t="s">
        <v>16399</v>
      </c>
      <c r="D5334" t="s">
        <v>16400</v>
      </c>
      <c r="E5334" t="s">
        <v>445</v>
      </c>
      <c r="F5334" t="s">
        <v>24</v>
      </c>
      <c r="G5334" t="s">
        <v>24</v>
      </c>
      <c r="H5334">
        <f>10278*(1.01^10)</f>
        <v>11353.306204976363</v>
      </c>
      <c r="I5334">
        <f>55834*(1.01^10)</f>
        <v>61675.471750209203</v>
      </c>
      <c r="J5334" t="s">
        <v>16401</v>
      </c>
      <c r="K5334">
        <f t="shared" si="83"/>
        <v>173.20851909354505</v>
      </c>
    </row>
    <row r="5335" spans="1:11" x14ac:dyDescent="0.2">
      <c r="A5335" t="s">
        <v>56</v>
      </c>
      <c r="B5335" t="s">
        <v>6050</v>
      </c>
      <c r="C5335" t="s">
        <v>16402</v>
      </c>
      <c r="D5335" t="s">
        <v>16403</v>
      </c>
      <c r="E5335" t="s">
        <v>422</v>
      </c>
      <c r="F5335" t="s">
        <v>24</v>
      </c>
      <c r="G5335" t="s">
        <v>24</v>
      </c>
      <c r="H5335">
        <f>12422*(1.01^10)</f>
        <v>13721.616041857986</v>
      </c>
      <c r="I5335">
        <f>65088*(1.01^10)</f>
        <v>71897.644898764498</v>
      </c>
      <c r="J5335" t="s">
        <v>16404</v>
      </c>
      <c r="K5335">
        <f t="shared" si="83"/>
        <v>170.65941449982651</v>
      </c>
    </row>
    <row r="5336" spans="1:11" x14ac:dyDescent="0.2">
      <c r="A5336" t="s">
        <v>56</v>
      </c>
      <c r="B5336" t="s">
        <v>6050</v>
      </c>
      <c r="C5336" t="s">
        <v>16405</v>
      </c>
      <c r="D5336" t="s">
        <v>16406</v>
      </c>
      <c r="E5336" t="s">
        <v>318</v>
      </c>
      <c r="F5336" t="s">
        <v>12</v>
      </c>
      <c r="G5336" t="s">
        <v>24</v>
      </c>
      <c r="H5336">
        <f>14187*(1.01^10)</f>
        <v>15671.274093208762</v>
      </c>
      <c r="I5336">
        <f>71237*(1.01^10)</f>
        <v>78689.966347917987</v>
      </c>
      <c r="J5336" t="s">
        <v>16407</v>
      </c>
      <c r="K5336">
        <f t="shared" si="83"/>
        <v>164.08131129994183</v>
      </c>
    </row>
    <row r="5337" spans="1:11" x14ac:dyDescent="0.2">
      <c r="A5337" t="s">
        <v>56</v>
      </c>
      <c r="B5337" t="s">
        <v>6050</v>
      </c>
      <c r="C5337" t="s">
        <v>16408</v>
      </c>
      <c r="D5337" t="s">
        <v>16409</v>
      </c>
      <c r="E5337" t="s">
        <v>274</v>
      </c>
      <c r="F5337" t="s">
        <v>24</v>
      </c>
      <c r="G5337" t="s">
        <v>24</v>
      </c>
      <c r="H5337">
        <f>9780*(1.01^10)</f>
        <v>10803.204386521582</v>
      </c>
      <c r="I5337">
        <f>47103*(1.01^10)</f>
        <v>52031.015973243979</v>
      </c>
      <c r="J5337" t="s">
        <v>16410</v>
      </c>
      <c r="K5337">
        <f t="shared" si="83"/>
        <v>138.39395858649533</v>
      </c>
    </row>
    <row r="5338" spans="1:11" x14ac:dyDescent="0.2">
      <c r="A5338" t="s">
        <v>56</v>
      </c>
      <c r="B5338" t="s">
        <v>6050</v>
      </c>
      <c r="C5338" t="s">
        <v>16411</v>
      </c>
      <c r="D5338" t="s">
        <v>15717</v>
      </c>
      <c r="E5338" t="s">
        <v>44</v>
      </c>
      <c r="F5338" t="s">
        <v>24</v>
      </c>
      <c r="G5338" t="s">
        <v>24</v>
      </c>
      <c r="H5338">
        <f>13895*(1.01^10)</f>
        <v>15348.72443258869</v>
      </c>
      <c r="I5338">
        <f>63120*(1.01^10)</f>
        <v>69723.748555955244</v>
      </c>
      <c r="J5338" t="s">
        <v>16412</v>
      </c>
      <c r="K5338">
        <f t="shared" si="83"/>
        <v>214.98245656367712</v>
      </c>
    </row>
    <row r="5339" spans="1:11" x14ac:dyDescent="0.2">
      <c r="A5339" t="s">
        <v>56</v>
      </c>
      <c r="B5339" t="s">
        <v>6050</v>
      </c>
      <c r="C5339" t="s">
        <v>16413</v>
      </c>
      <c r="D5339" t="s">
        <v>16414</v>
      </c>
      <c r="E5339" t="s">
        <v>405</v>
      </c>
      <c r="F5339" t="s">
        <v>24</v>
      </c>
      <c r="G5339" t="s">
        <v>12</v>
      </c>
      <c r="H5339">
        <f>20828*(1.01^10)</f>
        <v>23007.069628064572</v>
      </c>
      <c r="I5339">
        <f>88726*(1.01^10)</f>
        <v>98008.702699234549</v>
      </c>
      <c r="J5339" t="s">
        <v>16415</v>
      </c>
      <c r="K5339">
        <f t="shared" si="83"/>
        <v>272.62032931655119</v>
      </c>
    </row>
    <row r="5340" spans="1:11" x14ac:dyDescent="0.2">
      <c r="A5340" t="s">
        <v>56</v>
      </c>
      <c r="B5340" t="s">
        <v>6050</v>
      </c>
      <c r="C5340" t="s">
        <v>16416</v>
      </c>
      <c r="D5340" t="s">
        <v>16417</v>
      </c>
      <c r="E5340" t="s">
        <v>445</v>
      </c>
      <c r="F5340" t="s">
        <v>24</v>
      </c>
      <c r="G5340" t="s">
        <v>24</v>
      </c>
      <c r="H5340">
        <f>11332*(1.01^10)</f>
        <v>12517.577925159772</v>
      </c>
      <c r="I5340">
        <f>51426*(1.01^10)</f>
        <v>56806.297421396615</v>
      </c>
      <c r="J5340" t="s">
        <v>16418</v>
      </c>
      <c r="K5340">
        <f t="shared" si="83"/>
        <v>147.51350559567376</v>
      </c>
    </row>
    <row r="5341" spans="1:11" x14ac:dyDescent="0.2">
      <c r="A5341" t="s">
        <v>56</v>
      </c>
      <c r="B5341" t="s">
        <v>6050</v>
      </c>
      <c r="C5341" t="s">
        <v>16419</v>
      </c>
      <c r="D5341" t="s">
        <v>16420</v>
      </c>
      <c r="E5341" t="s">
        <v>318</v>
      </c>
      <c r="F5341" t="s">
        <v>24</v>
      </c>
      <c r="G5341" t="s">
        <v>24</v>
      </c>
      <c r="H5341">
        <f>9947*(1.01^10)</f>
        <v>10987.676281465254</v>
      </c>
      <c r="I5341">
        <f>42810*(1.01^10)</f>
        <v>47288.873188853679</v>
      </c>
      <c r="J5341" t="s">
        <v>16421</v>
      </c>
      <c r="K5341">
        <f t="shared" si="83"/>
        <v>146.08301723031749</v>
      </c>
    </row>
    <row r="5342" spans="1:11" x14ac:dyDescent="0.2">
      <c r="A5342" t="s">
        <v>56</v>
      </c>
      <c r="B5342" t="s">
        <v>6050</v>
      </c>
      <c r="C5342" t="s">
        <v>16422</v>
      </c>
      <c r="D5342" t="s">
        <v>16423</v>
      </c>
      <c r="E5342" t="s">
        <v>6</v>
      </c>
      <c r="F5342" t="s">
        <v>12</v>
      </c>
      <c r="G5342" t="s">
        <v>24</v>
      </c>
      <c r="H5342">
        <f>11326*(1.01^10)</f>
        <v>12510.950192407305</v>
      </c>
      <c r="I5342">
        <f>47850*(1.01^10)</f>
        <v>52856.168700926144</v>
      </c>
      <c r="J5342" t="s">
        <v>16424</v>
      </c>
      <c r="K5342">
        <f t="shared" si="83"/>
        <v>147.81102717310571</v>
      </c>
    </row>
    <row r="5343" spans="1:11" x14ac:dyDescent="0.2">
      <c r="A5343" t="s">
        <v>56</v>
      </c>
      <c r="B5343" t="s">
        <v>6050</v>
      </c>
      <c r="C5343" t="s">
        <v>16425</v>
      </c>
      <c r="D5343" t="s">
        <v>16426</v>
      </c>
      <c r="E5343" t="s">
        <v>274</v>
      </c>
      <c r="F5343" t="s">
        <v>24</v>
      </c>
      <c r="G5343" t="s">
        <v>24</v>
      </c>
      <c r="H5343">
        <f>12187*(1.01^10)</f>
        <v>13462.029842386351</v>
      </c>
      <c r="I5343">
        <f>48592*(1.01^10)</f>
        <v>53675.798317981258</v>
      </c>
      <c r="J5343" t="s">
        <v>16427</v>
      </c>
      <c r="K5343">
        <f t="shared" si="83"/>
        <v>101.54849416814989</v>
      </c>
    </row>
    <row r="5344" spans="1:11" x14ac:dyDescent="0.2">
      <c r="A5344" t="s">
        <v>56</v>
      </c>
      <c r="B5344" t="s">
        <v>6050</v>
      </c>
      <c r="C5344" t="s">
        <v>16428</v>
      </c>
      <c r="D5344" t="s">
        <v>16429</v>
      </c>
      <c r="E5344" t="s">
        <v>411</v>
      </c>
      <c r="F5344" t="s">
        <v>24</v>
      </c>
      <c r="G5344" t="s">
        <v>12</v>
      </c>
      <c r="H5344">
        <f>60998*(1.01^10)</f>
        <v>67379.740405832665</v>
      </c>
      <c r="I5344">
        <f>269368*(1.01^10)</f>
        <v>297549.85267776542</v>
      </c>
      <c r="J5344" t="s">
        <v>16430</v>
      </c>
      <c r="K5344">
        <f t="shared" si="83"/>
        <v>1343.0886663167912</v>
      </c>
    </row>
    <row r="5345" spans="1:11" x14ac:dyDescent="0.2">
      <c r="A5345" t="s">
        <v>56</v>
      </c>
      <c r="B5345" t="s">
        <v>6050</v>
      </c>
      <c r="C5345" t="s">
        <v>16431</v>
      </c>
      <c r="D5345" t="s">
        <v>16432</v>
      </c>
      <c r="E5345" t="s">
        <v>744</v>
      </c>
      <c r="F5345" t="s">
        <v>24</v>
      </c>
      <c r="G5345" t="s">
        <v>24</v>
      </c>
      <c r="H5345">
        <f>9120*(1.01^10)</f>
        <v>10074.153783750187</v>
      </c>
      <c r="I5345">
        <f>38487*(1.01^10)</f>
        <v>42513.591740701035</v>
      </c>
      <c r="J5345" t="s">
        <v>16433</v>
      </c>
      <c r="K5345">
        <f t="shared" si="83"/>
        <v>167.87596867175671</v>
      </c>
    </row>
    <row r="5346" spans="1:11" x14ac:dyDescent="0.2">
      <c r="A5346" t="s">
        <v>56</v>
      </c>
      <c r="B5346" t="s">
        <v>6050</v>
      </c>
      <c r="C5346" t="s">
        <v>16434</v>
      </c>
      <c r="D5346" t="s">
        <v>16435</v>
      </c>
      <c r="E5346" t="s">
        <v>382</v>
      </c>
      <c r="F5346" t="s">
        <v>24</v>
      </c>
      <c r="G5346" t="s">
        <v>24</v>
      </c>
      <c r="H5346">
        <f>13914*(1.01^10)</f>
        <v>15369.712252971503</v>
      </c>
      <c r="I5346">
        <f>58014*(1.01^10)</f>
        <v>64083.547983605633</v>
      </c>
      <c r="J5346" t="s">
        <v>16436</v>
      </c>
      <c r="K5346">
        <f t="shared" si="83"/>
        <v>366.9166592585014</v>
      </c>
    </row>
    <row r="5347" spans="1:11" x14ac:dyDescent="0.2">
      <c r="A5347" t="s">
        <v>56</v>
      </c>
      <c r="B5347" t="s">
        <v>6050</v>
      </c>
      <c r="C5347" t="s">
        <v>16437</v>
      </c>
      <c r="D5347" t="s">
        <v>16438</v>
      </c>
      <c r="E5347" t="s">
        <v>274</v>
      </c>
      <c r="F5347" t="s">
        <v>24</v>
      </c>
      <c r="G5347" t="s">
        <v>24</v>
      </c>
      <c r="H5347">
        <f>10593*(1.01^10)</f>
        <v>11701.262174480891</v>
      </c>
      <c r="I5347">
        <f>41066*(1.01^10)</f>
        <v>45362.412202136533</v>
      </c>
      <c r="J5347" t="s">
        <v>16439</v>
      </c>
      <c r="K5347">
        <f t="shared" si="83"/>
        <v>348.43451090035103</v>
      </c>
    </row>
    <row r="5348" spans="1:11" x14ac:dyDescent="0.2">
      <c r="A5348" t="s">
        <v>56</v>
      </c>
      <c r="B5348" t="s">
        <v>6050</v>
      </c>
      <c r="C5348" t="s">
        <v>16440</v>
      </c>
      <c r="D5348" t="s">
        <v>16441</v>
      </c>
      <c r="E5348" t="s">
        <v>72</v>
      </c>
      <c r="F5348" t="s">
        <v>12</v>
      </c>
      <c r="G5348" t="s">
        <v>17</v>
      </c>
      <c r="H5348">
        <f>23840*(1.01^10)</f>
        <v>26334.191469803121</v>
      </c>
      <c r="I5348">
        <f>100954*(1.01^10)</f>
        <v>111516.02204876277</v>
      </c>
      <c r="J5348" t="s">
        <v>16442</v>
      </c>
      <c r="K5348">
        <f t="shared" si="83"/>
        <v>211.6766306510462</v>
      </c>
    </row>
    <row r="5349" spans="1:11" x14ac:dyDescent="0.2">
      <c r="A5349" t="s">
        <v>56</v>
      </c>
      <c r="B5349" t="s">
        <v>6050</v>
      </c>
      <c r="C5349" t="s">
        <v>16443</v>
      </c>
      <c r="D5349" t="s">
        <v>16444</v>
      </c>
      <c r="E5349" t="s">
        <v>44</v>
      </c>
      <c r="F5349" t="s">
        <v>24</v>
      </c>
      <c r="G5349" t="s">
        <v>12</v>
      </c>
      <c r="H5349">
        <f>26505*(1.01^10)</f>
        <v>29278.009434023981</v>
      </c>
      <c r="I5349">
        <f>120232*(1.01^10)</f>
        <v>132810.92738243996</v>
      </c>
      <c r="J5349" t="s">
        <v>16445</v>
      </c>
      <c r="K5349">
        <f t="shared" si="83"/>
        <v>235.88023958497828</v>
      </c>
    </row>
    <row r="5350" spans="1:11" x14ac:dyDescent="0.2">
      <c r="A5350" t="s">
        <v>56</v>
      </c>
      <c r="B5350" t="s">
        <v>6050</v>
      </c>
      <c r="C5350" t="s">
        <v>16446</v>
      </c>
      <c r="D5350" t="s">
        <v>16447</v>
      </c>
      <c r="E5350" t="s">
        <v>108</v>
      </c>
      <c r="F5350" t="s">
        <v>24</v>
      </c>
      <c r="G5350" t="s">
        <v>24</v>
      </c>
      <c r="H5350">
        <f>14410*(1.01^10)</f>
        <v>15917.604827175461</v>
      </c>
      <c r="I5350">
        <f>68962*(1.01^10)</f>
        <v>76176.951012607504</v>
      </c>
      <c r="J5350" t="s">
        <v>16448</v>
      </c>
      <c r="K5350">
        <f t="shared" si="83"/>
        <v>263.4514173510172</v>
      </c>
    </row>
    <row r="5351" spans="1:11" x14ac:dyDescent="0.2">
      <c r="A5351" t="s">
        <v>56</v>
      </c>
      <c r="B5351" t="s">
        <v>6050</v>
      </c>
      <c r="C5351" t="s">
        <v>16449</v>
      </c>
      <c r="D5351" t="s">
        <v>16450</v>
      </c>
      <c r="E5351" t="s">
        <v>318</v>
      </c>
      <c r="F5351" t="s">
        <v>24</v>
      </c>
      <c r="G5351" t="s">
        <v>24</v>
      </c>
      <c r="H5351">
        <f>6569*(1.01^10)</f>
        <v>7256.2627418262036</v>
      </c>
      <c r="I5351">
        <f>33400*(1.01^10)</f>
        <v>36894.378988734235</v>
      </c>
      <c r="J5351" t="s">
        <v>16451</v>
      </c>
      <c r="K5351">
        <f t="shared" si="83"/>
        <v>125.12532013051047</v>
      </c>
    </row>
    <row r="5352" spans="1:11" x14ac:dyDescent="0.2">
      <c r="A5352" t="s">
        <v>56</v>
      </c>
      <c r="B5352" t="s">
        <v>6050</v>
      </c>
      <c r="C5352" t="s">
        <v>16452</v>
      </c>
      <c r="D5352" t="s">
        <v>16453</v>
      </c>
      <c r="E5352" t="s">
        <v>158</v>
      </c>
      <c r="F5352" t="s">
        <v>17</v>
      </c>
      <c r="G5352" t="s">
        <v>24</v>
      </c>
      <c r="H5352">
        <f>8089*(1.01^10)</f>
        <v>8935.2883724512358</v>
      </c>
      <c r="I5352">
        <f>36834*(1.01^10)</f>
        <v>40687.651367396313</v>
      </c>
      <c r="J5352" t="s">
        <v>16454</v>
      </c>
      <c r="K5352">
        <f t="shared" si="83"/>
        <v>168.79232916025097</v>
      </c>
    </row>
    <row r="5353" spans="1:11" x14ac:dyDescent="0.2">
      <c r="A5353" t="s">
        <v>56</v>
      </c>
      <c r="B5353" t="s">
        <v>6050</v>
      </c>
      <c r="C5353" t="s">
        <v>16455</v>
      </c>
      <c r="D5353" t="s">
        <v>16456</v>
      </c>
      <c r="E5353" t="s">
        <v>382</v>
      </c>
      <c r="F5353" t="s">
        <v>24</v>
      </c>
      <c r="G5353" t="s">
        <v>24</v>
      </c>
      <c r="H5353">
        <f>12577*(1.01^10)</f>
        <v>13892.832471296722</v>
      </c>
      <c r="I5353">
        <f>59462*(1.01^10)</f>
        <v>65683.040821201052</v>
      </c>
      <c r="J5353" t="s">
        <v>16457</v>
      </c>
      <c r="K5353">
        <f t="shared" si="83"/>
        <v>172.89482821681005</v>
      </c>
    </row>
    <row r="5354" spans="1:11" x14ac:dyDescent="0.2">
      <c r="A5354" t="s">
        <v>56</v>
      </c>
      <c r="B5354" t="s">
        <v>6050</v>
      </c>
      <c r="C5354" t="s">
        <v>16458</v>
      </c>
      <c r="D5354" t="s">
        <v>16459</v>
      </c>
      <c r="E5354" t="s">
        <v>445</v>
      </c>
      <c r="F5354" t="s">
        <v>12</v>
      </c>
      <c r="G5354" t="s">
        <v>24</v>
      </c>
      <c r="H5354">
        <f>16607*(1.01^10)</f>
        <v>18344.459636703876</v>
      </c>
      <c r="I5354">
        <f>73692*(1.01^10)</f>
        <v>81401.813665802503</v>
      </c>
      <c r="J5354" t="s">
        <v>16460</v>
      </c>
      <c r="K5354">
        <f t="shared" si="83"/>
        <v>148.41344757496779</v>
      </c>
    </row>
    <row r="5355" spans="1:11" x14ac:dyDescent="0.2">
      <c r="A5355" t="s">
        <v>56</v>
      </c>
      <c r="B5355" t="s">
        <v>6050</v>
      </c>
      <c r="C5355" t="s">
        <v>16461</v>
      </c>
      <c r="D5355" t="s">
        <v>16462</v>
      </c>
      <c r="E5355" t="s">
        <v>445</v>
      </c>
      <c r="F5355" t="s">
        <v>24</v>
      </c>
      <c r="G5355" t="s">
        <v>12</v>
      </c>
      <c r="H5355">
        <f>12440*(1.01^10)</f>
        <v>13741.499240115387</v>
      </c>
      <c r="I5355">
        <f>50452*(1.01^10)</f>
        <v>55730.395471246105</v>
      </c>
      <c r="J5355" t="s">
        <v>16463</v>
      </c>
      <c r="K5355">
        <f t="shared" si="83"/>
        <v>113.03802682062937</v>
      </c>
    </row>
    <row r="5356" spans="1:11" x14ac:dyDescent="0.2">
      <c r="A5356" t="s">
        <v>56</v>
      </c>
      <c r="B5356" t="s">
        <v>6050</v>
      </c>
      <c r="C5356" t="s">
        <v>16464</v>
      </c>
      <c r="D5356" t="s">
        <v>16465</v>
      </c>
      <c r="E5356" t="s">
        <v>411</v>
      </c>
      <c r="F5356" t="s">
        <v>12</v>
      </c>
      <c r="G5356" t="s">
        <v>24</v>
      </c>
      <c r="H5356">
        <f>12362*(1.01^10)</f>
        <v>13655.338714333313</v>
      </c>
      <c r="I5356">
        <f>48559*(1.01^10)</f>
        <v>53639.345787842693</v>
      </c>
      <c r="J5356" t="s">
        <v>16466</v>
      </c>
      <c r="K5356">
        <f t="shared" si="83"/>
        <v>251.33242141545253</v>
      </c>
    </row>
    <row r="5357" spans="1:11" x14ac:dyDescent="0.2">
      <c r="A5357" t="s">
        <v>56</v>
      </c>
      <c r="B5357" t="s">
        <v>6050</v>
      </c>
      <c r="C5357" t="s">
        <v>16467</v>
      </c>
      <c r="D5357" t="s">
        <v>16468</v>
      </c>
      <c r="E5357" t="s">
        <v>356</v>
      </c>
      <c r="F5357" t="s">
        <v>24</v>
      </c>
      <c r="G5357" t="s">
        <v>24</v>
      </c>
      <c r="H5357">
        <f>11619*(1.01^10)</f>
        <v>12834.604475152788</v>
      </c>
      <c r="I5357">
        <f>49003*(1.01^10)</f>
        <v>54129.798011525265</v>
      </c>
      <c r="J5357" t="s">
        <v>16469</v>
      </c>
      <c r="K5357">
        <f t="shared" si="83"/>
        <v>92.692992876840918</v>
      </c>
    </row>
    <row r="5358" spans="1:11" x14ac:dyDescent="0.2">
      <c r="A5358" t="s">
        <v>56</v>
      </c>
      <c r="B5358" t="s">
        <v>6050</v>
      </c>
      <c r="C5358" t="s">
        <v>16470</v>
      </c>
      <c r="D5358" t="s">
        <v>16471</v>
      </c>
      <c r="E5358" t="s">
        <v>422</v>
      </c>
      <c r="F5358" t="s">
        <v>24</v>
      </c>
      <c r="G5358" t="s">
        <v>24</v>
      </c>
      <c r="H5358">
        <f>19458*(1.01^10)</f>
        <v>21493.737316251223</v>
      </c>
      <c r="I5358">
        <f>79126*(1.01^10)</f>
        <v>87404.330295286985</v>
      </c>
      <c r="J5358" t="s">
        <v>16472</v>
      </c>
      <c r="K5358">
        <f t="shared" si="83"/>
        <v>264.89271636102063</v>
      </c>
    </row>
    <row r="5359" spans="1:11" x14ac:dyDescent="0.2">
      <c r="A5359" t="s">
        <v>56</v>
      </c>
      <c r="B5359" t="s">
        <v>6050</v>
      </c>
      <c r="C5359" t="s">
        <v>16473</v>
      </c>
      <c r="D5359" t="s">
        <v>16474</v>
      </c>
      <c r="E5359" t="s">
        <v>744</v>
      </c>
      <c r="F5359" t="s">
        <v>24</v>
      </c>
      <c r="G5359" t="s">
        <v>24</v>
      </c>
      <c r="H5359">
        <f>6444*(1.01^10)</f>
        <v>7118.1849761498033</v>
      </c>
      <c r="I5359">
        <f>26079*(1.01^10)</f>
        <v>28807.44040859881</v>
      </c>
      <c r="J5359" t="s">
        <v>16475</v>
      </c>
      <c r="K5359">
        <f t="shared" si="83"/>
        <v>285.82575979988172</v>
      </c>
    </row>
    <row r="5360" spans="1:11" x14ac:dyDescent="0.2">
      <c r="A5360" t="s">
        <v>56</v>
      </c>
      <c r="B5360" t="s">
        <v>6050</v>
      </c>
      <c r="C5360" t="s">
        <v>16476</v>
      </c>
      <c r="D5360" t="s">
        <v>16477</v>
      </c>
      <c r="E5360" t="s">
        <v>422</v>
      </c>
      <c r="F5360" t="s">
        <v>12</v>
      </c>
      <c r="G5360" t="s">
        <v>24</v>
      </c>
      <c r="H5360">
        <f>9352*(1.01^10)</f>
        <v>10330.426116845587</v>
      </c>
      <c r="I5360">
        <f>37537*(1.01^10)</f>
        <v>41464.200721560395</v>
      </c>
      <c r="J5360" t="s">
        <v>16478</v>
      </c>
      <c r="K5360">
        <f t="shared" si="83"/>
        <v>139.03517460297775</v>
      </c>
    </row>
    <row r="5361" spans="1:11" x14ac:dyDescent="0.2">
      <c r="A5361" t="s">
        <v>56</v>
      </c>
      <c r="B5361" t="s">
        <v>6050</v>
      </c>
      <c r="C5361" t="s">
        <v>16479</v>
      </c>
      <c r="D5361" t="s">
        <v>16480</v>
      </c>
      <c r="E5361" t="s">
        <v>422</v>
      </c>
      <c r="F5361" t="s">
        <v>24</v>
      </c>
      <c r="G5361" t="s">
        <v>12</v>
      </c>
      <c r="H5361">
        <f>12940*(1.01^10)</f>
        <v>14293.81030282099</v>
      </c>
      <c r="I5361">
        <f>53601*(1.01^10)</f>
        <v>59208.850544165987</v>
      </c>
      <c r="J5361" t="s">
        <v>16481</v>
      </c>
      <c r="K5361">
        <f t="shared" si="83"/>
        <v>177.67717290690086</v>
      </c>
    </row>
    <row r="5362" spans="1:11" x14ac:dyDescent="0.2">
      <c r="A5362" t="s">
        <v>56</v>
      </c>
      <c r="B5362" t="s">
        <v>6050</v>
      </c>
      <c r="C5362" t="s">
        <v>16482</v>
      </c>
      <c r="D5362" t="s">
        <v>16483</v>
      </c>
      <c r="E5362" t="s">
        <v>356</v>
      </c>
      <c r="F5362" t="s">
        <v>12</v>
      </c>
      <c r="G5362" t="s">
        <v>24</v>
      </c>
      <c r="H5362">
        <f>7077*(1.01^10)</f>
        <v>7817.4107815350962</v>
      </c>
      <c r="I5362">
        <f>28156*(1.01^10)</f>
        <v>31101.740563077881</v>
      </c>
      <c r="J5362" t="s">
        <v>16484</v>
      </c>
      <c r="K5362">
        <f t="shared" si="83"/>
        <v>153.62776673056092</v>
      </c>
    </row>
    <row r="5363" spans="1:11" x14ac:dyDescent="0.2">
      <c r="A5363" t="s">
        <v>56</v>
      </c>
      <c r="B5363" t="s">
        <v>6050</v>
      </c>
      <c r="C5363" t="s">
        <v>16485</v>
      </c>
      <c r="D5363" t="s">
        <v>16486</v>
      </c>
      <c r="E5363" t="s">
        <v>356</v>
      </c>
      <c r="F5363" t="s">
        <v>24</v>
      </c>
      <c r="G5363" t="s">
        <v>24</v>
      </c>
      <c r="H5363">
        <f>12210*(1.01^10)</f>
        <v>13487.436151270809</v>
      </c>
      <c r="I5363">
        <f>51132*(1.01^10)</f>
        <v>56481.538516525718</v>
      </c>
      <c r="J5363" t="s">
        <v>16487</v>
      </c>
      <c r="K5363">
        <f t="shared" si="83"/>
        <v>151.42032116348017</v>
      </c>
    </row>
    <row r="5364" spans="1:11" x14ac:dyDescent="0.2">
      <c r="A5364" t="s">
        <v>56</v>
      </c>
      <c r="B5364" t="s">
        <v>867</v>
      </c>
      <c r="C5364" t="s">
        <v>16488</v>
      </c>
      <c r="D5364" t="s">
        <v>16489</v>
      </c>
      <c r="E5364" t="s">
        <v>411</v>
      </c>
      <c r="F5364" t="s">
        <v>12</v>
      </c>
      <c r="G5364" t="s">
        <v>24</v>
      </c>
      <c r="H5364">
        <f>9583*(1.01^10)</f>
        <v>10585.593827815575</v>
      </c>
      <c r="I5364">
        <f>46613*(1.01^10)</f>
        <v>51489.751131792487</v>
      </c>
      <c r="J5364" t="s">
        <v>16490</v>
      </c>
      <c r="K5364">
        <f t="shared" si="83"/>
        <v>152.64354072759858</v>
      </c>
    </row>
    <row r="5365" spans="1:11" x14ac:dyDescent="0.2">
      <c r="A5365" t="s">
        <v>56</v>
      </c>
      <c r="B5365" t="s">
        <v>867</v>
      </c>
      <c r="C5365" t="s">
        <v>16491</v>
      </c>
      <c r="D5365" t="s">
        <v>16492</v>
      </c>
      <c r="E5365" t="s">
        <v>318</v>
      </c>
      <c r="F5365" t="s">
        <v>24</v>
      </c>
      <c r="G5365" t="s">
        <v>12</v>
      </c>
      <c r="H5365">
        <f>20939*(1.01^10)</f>
        <v>23129.682683985215</v>
      </c>
      <c r="I5365">
        <f>102691*(1.01^10)</f>
        <v>113434.75068060202</v>
      </c>
      <c r="J5365" t="s">
        <v>16493</v>
      </c>
      <c r="K5365">
        <f t="shared" si="83"/>
        <v>331.47836079198476</v>
      </c>
    </row>
    <row r="5366" spans="1:11" x14ac:dyDescent="0.2">
      <c r="A5366" t="s">
        <v>56</v>
      </c>
      <c r="B5366" t="s">
        <v>867</v>
      </c>
      <c r="C5366" t="s">
        <v>16494</v>
      </c>
      <c r="D5366" t="s">
        <v>16495</v>
      </c>
      <c r="E5366" t="s">
        <v>411</v>
      </c>
      <c r="F5366" t="s">
        <v>24</v>
      </c>
      <c r="G5366" t="s">
        <v>24</v>
      </c>
      <c r="H5366">
        <f>13923*(1.01^10)</f>
        <v>15379.653852100204</v>
      </c>
      <c r="I5366">
        <f>64979*(1.01^10)</f>
        <v>71777.241087094677</v>
      </c>
      <c r="J5366" t="s">
        <v>16496</v>
      </c>
      <c r="K5366">
        <f t="shared" si="83"/>
        <v>179.08102184604789</v>
      </c>
    </row>
    <row r="5367" spans="1:11" x14ac:dyDescent="0.2">
      <c r="A5367" t="s">
        <v>56</v>
      </c>
      <c r="B5367" t="s">
        <v>867</v>
      </c>
      <c r="C5367" t="s">
        <v>16497</v>
      </c>
      <c r="D5367" t="s">
        <v>16498</v>
      </c>
      <c r="E5367" t="s">
        <v>44</v>
      </c>
      <c r="F5367" t="s">
        <v>24</v>
      </c>
      <c r="G5367" t="s">
        <v>24</v>
      </c>
      <c r="H5367">
        <f>11959*(1.01^10)</f>
        <v>13210.175997792598</v>
      </c>
      <c r="I5367">
        <f>55989*(1.01^10)</f>
        <v>61846.688179647943</v>
      </c>
      <c r="J5367" t="s">
        <v>16499</v>
      </c>
      <c r="K5367">
        <f t="shared" si="83"/>
        <v>204.42847882387525</v>
      </c>
    </row>
    <row r="5368" spans="1:11" x14ac:dyDescent="0.2">
      <c r="A5368" t="s">
        <v>56</v>
      </c>
      <c r="B5368" t="s">
        <v>867</v>
      </c>
      <c r="C5368" t="s">
        <v>16500</v>
      </c>
      <c r="D5368" t="s">
        <v>16501</v>
      </c>
      <c r="E5368" t="s">
        <v>318</v>
      </c>
      <c r="F5368" t="s">
        <v>24</v>
      </c>
      <c r="G5368" t="s">
        <v>24</v>
      </c>
      <c r="H5368">
        <f>11562*(1.01^10)</f>
        <v>12771.64101400435</v>
      </c>
      <c r="I5368">
        <f>53476*(1.01^10)</f>
        <v>59070.772778489583</v>
      </c>
      <c r="J5368" t="s">
        <v>16502</v>
      </c>
      <c r="K5368">
        <f t="shared" si="83"/>
        <v>157.08098655862241</v>
      </c>
    </row>
    <row r="5369" spans="1:11" x14ac:dyDescent="0.2">
      <c r="A5369" t="s">
        <v>56</v>
      </c>
      <c r="B5369" t="s">
        <v>867</v>
      </c>
      <c r="C5369" t="s">
        <v>16503</v>
      </c>
      <c r="D5369" t="s">
        <v>16504</v>
      </c>
      <c r="E5369" t="s">
        <v>445</v>
      </c>
      <c r="F5369" t="s">
        <v>24</v>
      </c>
      <c r="G5369" t="s">
        <v>12</v>
      </c>
      <c r="H5369">
        <f>39077*(1.01^10)</f>
        <v>43165.318794693645</v>
      </c>
      <c r="I5369">
        <f>171655*(1.01^10)</f>
        <v>189613.91093746034</v>
      </c>
      <c r="J5369" t="s">
        <v>16505</v>
      </c>
      <c r="K5369">
        <f t="shared" si="83"/>
        <v>471.68472486148727</v>
      </c>
    </row>
    <row r="5370" spans="1:11" x14ac:dyDescent="0.2">
      <c r="A5370" t="s">
        <v>56</v>
      </c>
      <c r="B5370" t="s">
        <v>867</v>
      </c>
      <c r="C5370" t="s">
        <v>16506</v>
      </c>
      <c r="D5370" t="s">
        <v>16507</v>
      </c>
      <c r="E5370" t="s">
        <v>796</v>
      </c>
      <c r="F5370" t="s">
        <v>24</v>
      </c>
      <c r="G5370" t="s">
        <v>12</v>
      </c>
      <c r="H5370">
        <f>20770*(1.01^10)</f>
        <v>22943.001544790721</v>
      </c>
      <c r="I5370">
        <f>88887*(1.01^10)</f>
        <v>98186.546861425755</v>
      </c>
      <c r="J5370" t="s">
        <v>16508</v>
      </c>
      <c r="K5370">
        <f t="shared" si="83"/>
        <v>317.35889592176545</v>
      </c>
    </row>
    <row r="5371" spans="1:11" x14ac:dyDescent="0.2">
      <c r="A5371" t="s">
        <v>56</v>
      </c>
      <c r="B5371" t="s">
        <v>867</v>
      </c>
      <c r="C5371" t="s">
        <v>16509</v>
      </c>
      <c r="D5371" t="s">
        <v>16510</v>
      </c>
      <c r="E5371" t="s">
        <v>726</v>
      </c>
      <c r="F5371" t="s">
        <v>24</v>
      </c>
      <c r="G5371" t="s">
        <v>24</v>
      </c>
      <c r="H5371">
        <f>11129*(1.01^10)</f>
        <v>12293.339633701298</v>
      </c>
      <c r="I5371">
        <f>45771*(1.01^10)</f>
        <v>50559.659302196254</v>
      </c>
      <c r="J5371" t="s">
        <v>16511</v>
      </c>
      <c r="K5371">
        <f t="shared" si="83"/>
        <v>171.74540633932267</v>
      </c>
    </row>
    <row r="5372" spans="1:11" x14ac:dyDescent="0.2">
      <c r="A5372" t="s">
        <v>56</v>
      </c>
      <c r="B5372" t="s">
        <v>867</v>
      </c>
      <c r="C5372" t="s">
        <v>16512</v>
      </c>
      <c r="D5372" t="s">
        <v>16513</v>
      </c>
      <c r="E5372" t="s">
        <v>318</v>
      </c>
      <c r="F5372" t="s">
        <v>24</v>
      </c>
      <c r="G5372" t="s">
        <v>24</v>
      </c>
      <c r="H5372">
        <f>13941*(1.01^10)</f>
        <v>15399.537050357605</v>
      </c>
      <c r="I5372">
        <f>56122*(1.01^10)</f>
        <v>61993.602922327635</v>
      </c>
      <c r="J5372" t="s">
        <v>16514</v>
      </c>
      <c r="K5372">
        <f t="shared" si="83"/>
        <v>181.65698963673032</v>
      </c>
    </row>
    <row r="5373" spans="1:11" x14ac:dyDescent="0.2">
      <c r="A5373" t="s">
        <v>56</v>
      </c>
      <c r="B5373" t="s">
        <v>867</v>
      </c>
      <c r="C5373" t="s">
        <v>16515</v>
      </c>
      <c r="D5373" t="s">
        <v>16516</v>
      </c>
      <c r="E5373" t="s">
        <v>313</v>
      </c>
      <c r="F5373" t="s">
        <v>24</v>
      </c>
      <c r="G5373" t="s">
        <v>12</v>
      </c>
      <c r="H5373">
        <f>39970*(1.01^10)</f>
        <v>44151.746352685856</v>
      </c>
      <c r="I5373">
        <f>165872*(1.01^10)</f>
        <v>183225.88118620735</v>
      </c>
      <c r="J5373" t="s">
        <v>16517</v>
      </c>
      <c r="K5373">
        <f t="shared" si="83"/>
        <v>507.48955385353099</v>
      </c>
    </row>
    <row r="5374" spans="1:11" x14ac:dyDescent="0.2">
      <c r="A5374" t="s">
        <v>56</v>
      </c>
      <c r="B5374" t="s">
        <v>867</v>
      </c>
      <c r="C5374" t="s">
        <v>16518</v>
      </c>
      <c r="D5374" t="s">
        <v>16519</v>
      </c>
      <c r="E5374" t="s">
        <v>411</v>
      </c>
      <c r="F5374" t="s">
        <v>24</v>
      </c>
      <c r="G5374" t="s">
        <v>24</v>
      </c>
      <c r="H5374">
        <f>8604*(1.01^10)</f>
        <v>9504.1687670380052</v>
      </c>
      <c r="I5374">
        <f>34629*(1.01^10)</f>
        <v>38251.959580864612</v>
      </c>
      <c r="J5374" t="s">
        <v>16520</v>
      </c>
      <c r="K5374">
        <f t="shared" si="83"/>
        <v>167.9849577563011</v>
      </c>
    </row>
    <row r="5375" spans="1:11" x14ac:dyDescent="0.2">
      <c r="A5375" t="s">
        <v>56</v>
      </c>
      <c r="B5375" t="s">
        <v>867</v>
      </c>
      <c r="C5375" t="s">
        <v>16521</v>
      </c>
      <c r="D5375" t="s">
        <v>16522</v>
      </c>
      <c r="E5375" t="s">
        <v>796</v>
      </c>
      <c r="F5375" t="s">
        <v>24</v>
      </c>
      <c r="G5375" t="s">
        <v>24</v>
      </c>
      <c r="H5375">
        <f>13117*(1.01^10)</f>
        <v>14489.328419018773</v>
      </c>
      <c r="I5375">
        <f>55303*(1.01^10)</f>
        <v>61088.917401615858</v>
      </c>
      <c r="J5375" t="s">
        <v>16523</v>
      </c>
      <c r="K5375">
        <f t="shared" si="83"/>
        <v>209.90799426079479</v>
      </c>
    </row>
    <row r="5376" spans="1:11" x14ac:dyDescent="0.2">
      <c r="A5376" t="s">
        <v>56</v>
      </c>
      <c r="B5376" t="s">
        <v>867</v>
      </c>
      <c r="C5376" t="s">
        <v>16524</v>
      </c>
      <c r="D5376" t="s">
        <v>16525</v>
      </c>
      <c r="E5376" t="s">
        <v>44</v>
      </c>
      <c r="F5376" t="s">
        <v>24</v>
      </c>
      <c r="G5376" t="s">
        <v>24</v>
      </c>
      <c r="H5376">
        <f>11186*(1.01^10)</f>
        <v>12356.303094849736</v>
      </c>
      <c r="I5376">
        <f>50007*(1.01^10)</f>
        <v>55238.838625438118</v>
      </c>
      <c r="J5376" t="s">
        <v>16526</v>
      </c>
      <c r="K5376">
        <f t="shared" si="83"/>
        <v>138.04502140350897</v>
      </c>
    </row>
    <row r="5377" spans="1:11" x14ac:dyDescent="0.2">
      <c r="A5377" t="s">
        <v>56</v>
      </c>
      <c r="B5377" t="s">
        <v>867</v>
      </c>
      <c r="C5377" t="s">
        <v>16527</v>
      </c>
      <c r="D5377" t="s">
        <v>16528</v>
      </c>
      <c r="E5377" t="s">
        <v>1340</v>
      </c>
      <c r="F5377" t="s">
        <v>24</v>
      </c>
      <c r="G5377" t="s">
        <v>12</v>
      </c>
      <c r="H5377">
        <f>18321*(1.01^10)</f>
        <v>20237.781959658681</v>
      </c>
      <c r="I5377">
        <f>80201*(1.01^10)</f>
        <v>88591.799080104029</v>
      </c>
      <c r="J5377" t="s">
        <v>16529</v>
      </c>
      <c r="K5377">
        <f t="shared" si="83"/>
        <v>225.24144030504269</v>
      </c>
    </row>
    <row r="5378" spans="1:11" x14ac:dyDescent="0.2">
      <c r="A5378" t="s">
        <v>56</v>
      </c>
      <c r="B5378" t="s">
        <v>867</v>
      </c>
      <c r="C5378" t="s">
        <v>16530</v>
      </c>
      <c r="D5378" t="s">
        <v>16531</v>
      </c>
      <c r="E5378" t="s">
        <v>318</v>
      </c>
      <c r="F5378" t="s">
        <v>24</v>
      </c>
      <c r="G5378" t="s">
        <v>24</v>
      </c>
      <c r="H5378">
        <f>10056*(1.01^10)</f>
        <v>11108.080093135075</v>
      </c>
      <c r="I5378">
        <f>43735*(1.01^10)</f>
        <v>48310.64865485904</v>
      </c>
      <c r="J5378" t="s">
        <v>16532</v>
      </c>
      <c r="K5378">
        <f t="shared" si="83"/>
        <v>146.95353198004267</v>
      </c>
    </row>
    <row r="5379" spans="1:11" x14ac:dyDescent="0.2">
      <c r="A5379" t="s">
        <v>56</v>
      </c>
      <c r="B5379" t="s">
        <v>867</v>
      </c>
      <c r="C5379" t="s">
        <v>16533</v>
      </c>
      <c r="D5379" t="s">
        <v>16534</v>
      </c>
      <c r="E5379" t="s">
        <v>108</v>
      </c>
      <c r="F5379" t="s">
        <v>24</v>
      </c>
      <c r="G5379" t="s">
        <v>24</v>
      </c>
      <c r="H5379">
        <f>10147*(1.01^10)</f>
        <v>11208.600706547495</v>
      </c>
      <c r="I5379">
        <f>49207*(1.01^10)</f>
        <v>54355.140925109154</v>
      </c>
      <c r="J5379" t="s">
        <v>16535</v>
      </c>
      <c r="K5379">
        <f t="shared" ref="K5379:K5442" si="84">I5379/J5379</f>
        <v>243.13332695025395</v>
      </c>
    </row>
    <row r="5380" spans="1:11" x14ac:dyDescent="0.2">
      <c r="A5380" t="s">
        <v>56</v>
      </c>
      <c r="B5380" t="s">
        <v>867</v>
      </c>
      <c r="C5380" t="s">
        <v>16536</v>
      </c>
      <c r="D5380" t="s">
        <v>16537</v>
      </c>
      <c r="E5380" t="s">
        <v>458</v>
      </c>
      <c r="F5380" t="s">
        <v>24</v>
      </c>
      <c r="G5380" t="s">
        <v>24</v>
      </c>
      <c r="H5380">
        <f>9363*(1.01^10)</f>
        <v>10342.576960225109</v>
      </c>
      <c r="I5380">
        <f>43162*(1.01^10)</f>
        <v>47677.70017699842</v>
      </c>
      <c r="J5380" t="s">
        <v>16538</v>
      </c>
      <c r="K5380">
        <f t="shared" si="84"/>
        <v>161.78329581336632</v>
      </c>
    </row>
    <row r="5381" spans="1:11" x14ac:dyDescent="0.2">
      <c r="A5381" t="s">
        <v>56</v>
      </c>
      <c r="B5381" t="s">
        <v>867</v>
      </c>
      <c r="C5381" t="s">
        <v>16539</v>
      </c>
      <c r="D5381" t="s">
        <v>16540</v>
      </c>
      <c r="E5381" t="s">
        <v>274</v>
      </c>
      <c r="F5381" t="s">
        <v>24</v>
      </c>
      <c r="G5381" t="s">
        <v>12</v>
      </c>
      <c r="H5381">
        <f>20621*(1.01^10)</f>
        <v>22778.412848104454</v>
      </c>
      <c r="I5381">
        <f>89879*(1.01^10)</f>
        <v>99282.33200983367</v>
      </c>
      <c r="J5381" t="s">
        <v>16541</v>
      </c>
      <c r="K5381">
        <f t="shared" si="84"/>
        <v>202.0351235777313</v>
      </c>
    </row>
    <row r="5382" spans="1:11" x14ac:dyDescent="0.2">
      <c r="A5382" t="s">
        <v>56</v>
      </c>
      <c r="B5382" t="s">
        <v>867</v>
      </c>
      <c r="C5382" t="s">
        <v>16542</v>
      </c>
      <c r="D5382" t="s">
        <v>14384</v>
      </c>
      <c r="E5382" t="s">
        <v>152</v>
      </c>
      <c r="F5382" t="s">
        <v>24</v>
      </c>
      <c r="G5382" t="s">
        <v>24</v>
      </c>
      <c r="H5382">
        <f>9796*(1.01^10)</f>
        <v>10820.878340528161</v>
      </c>
      <c r="I5382">
        <f>38970*(1.01^10)</f>
        <v>43047.124227274646</v>
      </c>
      <c r="J5382" t="s">
        <v>16543</v>
      </c>
      <c r="K5382">
        <f t="shared" si="84"/>
        <v>138.55689148214455</v>
      </c>
    </row>
    <row r="5383" spans="1:11" x14ac:dyDescent="0.2">
      <c r="A5383" t="s">
        <v>56</v>
      </c>
      <c r="B5383" t="s">
        <v>867</v>
      </c>
      <c r="C5383" t="s">
        <v>16544</v>
      </c>
      <c r="D5383" t="s">
        <v>16545</v>
      </c>
      <c r="E5383" t="s">
        <v>458</v>
      </c>
      <c r="F5383" t="s">
        <v>24</v>
      </c>
      <c r="G5383" t="s">
        <v>24</v>
      </c>
      <c r="H5383">
        <f>9272*(1.01^10)</f>
        <v>10242.056346812691</v>
      </c>
      <c r="I5383">
        <f>38312*(1.01^10)</f>
        <v>42320.282868754075</v>
      </c>
      <c r="J5383" t="s">
        <v>16546</v>
      </c>
      <c r="K5383">
        <f t="shared" si="84"/>
        <v>108.02586473393583</v>
      </c>
    </row>
    <row r="5384" spans="1:11" x14ac:dyDescent="0.2">
      <c r="A5384" t="s">
        <v>56</v>
      </c>
      <c r="B5384" t="s">
        <v>867</v>
      </c>
      <c r="C5384" t="s">
        <v>16547</v>
      </c>
      <c r="D5384" t="s">
        <v>16548</v>
      </c>
      <c r="E5384" t="s">
        <v>445</v>
      </c>
      <c r="F5384" t="s">
        <v>24</v>
      </c>
      <c r="G5384" t="s">
        <v>24</v>
      </c>
      <c r="H5384">
        <f>13192*(1.01^10)</f>
        <v>14572.175078424612</v>
      </c>
      <c r="I5384">
        <f>53780*(1.01^10)</f>
        <v>59406.577904614591</v>
      </c>
      <c r="J5384" t="s">
        <v>16549</v>
      </c>
      <c r="K5384">
        <f t="shared" si="84"/>
        <v>201.9640243064446</v>
      </c>
    </row>
    <row r="5385" spans="1:11" x14ac:dyDescent="0.2">
      <c r="A5385" t="s">
        <v>56</v>
      </c>
      <c r="B5385" t="s">
        <v>867</v>
      </c>
      <c r="C5385" t="s">
        <v>16550</v>
      </c>
      <c r="D5385" t="s">
        <v>16551</v>
      </c>
      <c r="E5385" t="s">
        <v>356</v>
      </c>
      <c r="F5385" t="s">
        <v>11</v>
      </c>
      <c r="G5385" t="s">
        <v>24</v>
      </c>
      <c r="H5385">
        <f>10710*(1.01^10)</f>
        <v>11830.502963154004</v>
      </c>
      <c r="I5385">
        <f>43643*(1.01^10)</f>
        <v>48209.023419321209</v>
      </c>
      <c r="J5385" t="s">
        <v>16552</v>
      </c>
      <c r="K5385">
        <f t="shared" si="84"/>
        <v>150.88547376444322</v>
      </c>
    </row>
    <row r="5386" spans="1:11" x14ac:dyDescent="0.2">
      <c r="A5386" t="s">
        <v>56</v>
      </c>
      <c r="B5386" t="s">
        <v>867</v>
      </c>
      <c r="C5386" t="s">
        <v>16553</v>
      </c>
      <c r="D5386" t="s">
        <v>16554</v>
      </c>
      <c r="E5386" t="s">
        <v>411</v>
      </c>
      <c r="F5386" t="s">
        <v>24</v>
      </c>
      <c r="G5386" t="s">
        <v>24</v>
      </c>
      <c r="H5386">
        <f>9014*(1.01^10)</f>
        <v>9957.0638384565991</v>
      </c>
      <c r="I5386">
        <f>36902*(1.01^10)</f>
        <v>40762.76567192428</v>
      </c>
      <c r="J5386" t="s">
        <v>16555</v>
      </c>
      <c r="K5386">
        <f t="shared" si="84"/>
        <v>119.13433109480874</v>
      </c>
    </row>
    <row r="5387" spans="1:11" x14ac:dyDescent="0.2">
      <c r="A5387" t="s">
        <v>56</v>
      </c>
      <c r="B5387" t="s">
        <v>867</v>
      </c>
      <c r="C5387" t="s">
        <v>16556</v>
      </c>
      <c r="D5387" t="s">
        <v>16557</v>
      </c>
      <c r="E5387" t="s">
        <v>356</v>
      </c>
      <c r="F5387" t="s">
        <v>24</v>
      </c>
      <c r="G5387" t="s">
        <v>24</v>
      </c>
      <c r="H5387">
        <f>9162*(1.01^10)</f>
        <v>10120.547913017457</v>
      </c>
      <c r="I5387">
        <f>35732*(1.01^10)</f>
        <v>39470.35778519317</v>
      </c>
      <c r="J5387" t="s">
        <v>16558</v>
      </c>
      <c r="K5387">
        <f t="shared" si="84"/>
        <v>129.92229990309269</v>
      </c>
    </row>
    <row r="5388" spans="1:11" x14ac:dyDescent="0.2">
      <c r="A5388" t="s">
        <v>56</v>
      </c>
      <c r="B5388" t="s">
        <v>867</v>
      </c>
      <c r="C5388" t="s">
        <v>16559</v>
      </c>
      <c r="D5388" t="s">
        <v>16560</v>
      </c>
      <c r="E5388" t="s">
        <v>382</v>
      </c>
      <c r="F5388" t="s">
        <v>24</v>
      </c>
      <c r="G5388" t="s">
        <v>24</v>
      </c>
      <c r="H5388">
        <f>14255*(1.01^10)</f>
        <v>15746.388397736724</v>
      </c>
      <c r="I5388">
        <f>54973*(1.01^10)</f>
        <v>60724.392100230158</v>
      </c>
      <c r="J5388" t="s">
        <v>16561</v>
      </c>
      <c r="K5388">
        <f t="shared" si="84"/>
        <v>222.99440160840643</v>
      </c>
    </row>
    <row r="5389" spans="1:11" x14ac:dyDescent="0.2">
      <c r="A5389" t="s">
        <v>56</v>
      </c>
      <c r="B5389" t="s">
        <v>867</v>
      </c>
      <c r="C5389" t="s">
        <v>16562</v>
      </c>
      <c r="D5389" t="s">
        <v>16563</v>
      </c>
      <c r="E5389" t="s">
        <v>318</v>
      </c>
      <c r="F5389" t="s">
        <v>24</v>
      </c>
      <c r="G5389" t="s">
        <v>24</v>
      </c>
      <c r="H5389">
        <f>16091*(1.01^10)</f>
        <v>17774.474619991695</v>
      </c>
      <c r="I5389">
        <f>67384*(1.01^10)</f>
        <v>74433.857298708623</v>
      </c>
      <c r="J5389" t="s">
        <v>16564</v>
      </c>
      <c r="K5389">
        <f t="shared" si="84"/>
        <v>280.25509473468969</v>
      </c>
    </row>
    <row r="5390" spans="1:11" x14ac:dyDescent="0.2">
      <c r="A5390" t="s">
        <v>56</v>
      </c>
      <c r="B5390" t="s">
        <v>867</v>
      </c>
      <c r="C5390" t="s">
        <v>16565</v>
      </c>
      <c r="D5390" t="s">
        <v>16566</v>
      </c>
      <c r="E5390" t="s">
        <v>44</v>
      </c>
      <c r="F5390" t="s">
        <v>24</v>
      </c>
      <c r="G5390" t="s">
        <v>92</v>
      </c>
      <c r="H5390">
        <f>92905*(1.01^10)</f>
        <v>102624.91856132798</v>
      </c>
      <c r="I5390">
        <f>388023*(1.01^10)</f>
        <v>428618.79096843192</v>
      </c>
      <c r="J5390" t="s">
        <v>16567</v>
      </c>
      <c r="K5390">
        <f t="shared" si="84"/>
        <v>1542.403653200256</v>
      </c>
    </row>
    <row r="5391" spans="1:11" x14ac:dyDescent="0.2">
      <c r="A5391" t="s">
        <v>56</v>
      </c>
      <c r="B5391" t="s">
        <v>867</v>
      </c>
      <c r="C5391" t="s">
        <v>16568</v>
      </c>
      <c r="D5391" t="s">
        <v>16569</v>
      </c>
      <c r="E5391" t="s">
        <v>108</v>
      </c>
      <c r="F5391" t="s">
        <v>24</v>
      </c>
      <c r="G5391" t="s">
        <v>24</v>
      </c>
      <c r="H5391">
        <f>9377*(1.01^10)</f>
        <v>10358.041669980867</v>
      </c>
      <c r="I5391">
        <f>38057*(1.01^10)</f>
        <v>42038.604226774216</v>
      </c>
      <c r="J5391" t="s">
        <v>16570</v>
      </c>
      <c r="K5391">
        <f t="shared" si="84"/>
        <v>157.74091788884388</v>
      </c>
    </row>
    <row r="5392" spans="1:11" x14ac:dyDescent="0.2">
      <c r="A5392" t="s">
        <v>56</v>
      </c>
      <c r="B5392" t="s">
        <v>867</v>
      </c>
      <c r="C5392" t="s">
        <v>16571</v>
      </c>
      <c r="D5392" t="s">
        <v>16572</v>
      </c>
      <c r="E5392" t="s">
        <v>744</v>
      </c>
      <c r="F5392" t="s">
        <v>12</v>
      </c>
      <c r="G5392" t="s">
        <v>24</v>
      </c>
      <c r="H5392">
        <f>9476*(1.01^10)</f>
        <v>10467.399260396576</v>
      </c>
      <c r="I5392">
        <f>43172*(1.01^10)</f>
        <v>47688.74639825253</v>
      </c>
      <c r="J5392" t="s">
        <v>16573</v>
      </c>
      <c r="K5392">
        <f t="shared" si="84"/>
        <v>145.95599640356926</v>
      </c>
    </row>
    <row r="5393" spans="1:11" x14ac:dyDescent="0.2">
      <c r="A5393" t="s">
        <v>56</v>
      </c>
      <c r="B5393" t="s">
        <v>867</v>
      </c>
      <c r="C5393" t="s">
        <v>16574</v>
      </c>
      <c r="D5393" t="s">
        <v>16575</v>
      </c>
      <c r="E5393" t="s">
        <v>405</v>
      </c>
      <c r="F5393" t="s">
        <v>24</v>
      </c>
      <c r="G5393" t="s">
        <v>24</v>
      </c>
      <c r="H5393">
        <f>11765*(1.01^10)</f>
        <v>12995.879305462824</v>
      </c>
      <c r="I5393">
        <f>53180*(1.01^10)</f>
        <v>58743.804629367871</v>
      </c>
      <c r="J5393" t="s">
        <v>16576</v>
      </c>
      <c r="K5393">
        <f t="shared" si="84"/>
        <v>199.6833169659202</v>
      </c>
    </row>
    <row r="5394" spans="1:11" x14ac:dyDescent="0.2">
      <c r="A5394" t="s">
        <v>56</v>
      </c>
      <c r="B5394" t="s">
        <v>867</v>
      </c>
      <c r="C5394" t="s">
        <v>16577</v>
      </c>
      <c r="D5394" t="s">
        <v>16578</v>
      </c>
      <c r="E5394" t="s">
        <v>382</v>
      </c>
      <c r="F5394" t="s">
        <v>24</v>
      </c>
      <c r="G5394" t="s">
        <v>24</v>
      </c>
      <c r="H5394">
        <f>11668*(1.01^10)</f>
        <v>12888.730959297936</v>
      </c>
      <c r="I5394">
        <f>50799*(1.01^10)</f>
        <v>56113.699348763788</v>
      </c>
      <c r="J5394" t="s">
        <v>16579</v>
      </c>
      <c r="K5394">
        <f t="shared" si="84"/>
        <v>142.47640499395206</v>
      </c>
    </row>
    <row r="5395" spans="1:11" x14ac:dyDescent="0.2">
      <c r="A5395" t="s">
        <v>56</v>
      </c>
      <c r="B5395" t="s">
        <v>867</v>
      </c>
      <c r="C5395" t="s">
        <v>16580</v>
      </c>
      <c r="D5395" t="s">
        <v>16581</v>
      </c>
      <c r="E5395" t="s">
        <v>405</v>
      </c>
      <c r="F5395" t="s">
        <v>24</v>
      </c>
      <c r="G5395" t="s">
        <v>24</v>
      </c>
      <c r="H5395">
        <f>9481*(1.01^10)</f>
        <v>10472.922371023633</v>
      </c>
      <c r="I5395">
        <f>39673*(1.01^10)</f>
        <v>43823.673581438728</v>
      </c>
      <c r="J5395" t="s">
        <v>16582</v>
      </c>
      <c r="K5395">
        <f t="shared" si="84"/>
        <v>103.34148050945855</v>
      </c>
    </row>
    <row r="5396" spans="1:11" x14ac:dyDescent="0.2">
      <c r="A5396" t="s">
        <v>56</v>
      </c>
      <c r="B5396" t="s">
        <v>867</v>
      </c>
      <c r="C5396" t="s">
        <v>16583</v>
      </c>
      <c r="D5396" t="s">
        <v>16584</v>
      </c>
      <c r="E5396" t="s">
        <v>382</v>
      </c>
      <c r="F5396" t="s">
        <v>12</v>
      </c>
      <c r="G5396" t="s">
        <v>12</v>
      </c>
      <c r="H5396">
        <f>42891*(1.01^10)</f>
        <v>47378.347581011985</v>
      </c>
      <c r="I5396">
        <f>172479*(1.01^10)</f>
        <v>190524.11956879919</v>
      </c>
      <c r="J5396" t="s">
        <v>16585</v>
      </c>
      <c r="K5396">
        <f t="shared" si="84"/>
        <v>508.32443921817247</v>
      </c>
    </row>
    <row r="5397" spans="1:11" x14ac:dyDescent="0.2">
      <c r="A5397" t="s">
        <v>56</v>
      </c>
      <c r="B5397" t="s">
        <v>867</v>
      </c>
      <c r="C5397" t="s">
        <v>16586</v>
      </c>
      <c r="D5397" t="s">
        <v>16587</v>
      </c>
      <c r="E5397" t="s">
        <v>108</v>
      </c>
      <c r="F5397" t="s">
        <v>24</v>
      </c>
      <c r="G5397" t="s">
        <v>24</v>
      </c>
      <c r="H5397">
        <f>10074*(1.01^10)</f>
        <v>11127.963291392476</v>
      </c>
      <c r="I5397">
        <f>39373*(1.01^10)</f>
        <v>43492.286943815365</v>
      </c>
      <c r="J5397" t="s">
        <v>16588</v>
      </c>
      <c r="K5397">
        <f t="shared" si="84"/>
        <v>189.01540801677743</v>
      </c>
    </row>
    <row r="5398" spans="1:11" x14ac:dyDescent="0.2">
      <c r="A5398" t="s">
        <v>56</v>
      </c>
      <c r="B5398" t="s">
        <v>867</v>
      </c>
      <c r="C5398" t="s">
        <v>16589</v>
      </c>
      <c r="D5398" t="s">
        <v>16590</v>
      </c>
      <c r="E5398" t="s">
        <v>108</v>
      </c>
      <c r="F5398" t="s">
        <v>24</v>
      </c>
      <c r="G5398" t="s">
        <v>24</v>
      </c>
      <c r="H5398">
        <f>8572*(1.01^10)</f>
        <v>9468.8208590248469</v>
      </c>
      <c r="I5398">
        <f>32385*(1.01^10)</f>
        <v>35773.187531441865</v>
      </c>
      <c r="J5398" t="s">
        <v>16591</v>
      </c>
      <c r="K5398">
        <f t="shared" si="84"/>
        <v>138.74692555697837</v>
      </c>
    </row>
    <row r="5399" spans="1:11" x14ac:dyDescent="0.2">
      <c r="A5399" t="s">
        <v>56</v>
      </c>
      <c r="B5399" t="s">
        <v>867</v>
      </c>
      <c r="C5399" t="s">
        <v>16592</v>
      </c>
      <c r="D5399" t="s">
        <v>16593</v>
      </c>
      <c r="E5399" t="s">
        <v>427</v>
      </c>
      <c r="F5399" t="s">
        <v>12</v>
      </c>
      <c r="G5399" t="s">
        <v>24</v>
      </c>
      <c r="H5399">
        <f>15531*(1.01^10)</f>
        <v>17155.886229761421</v>
      </c>
      <c r="I5399">
        <f>60469*(1.01^10)</f>
        <v>66795.395301490134</v>
      </c>
      <c r="J5399" t="s">
        <v>16594</v>
      </c>
      <c r="K5399">
        <f t="shared" si="84"/>
        <v>120.58053133339997</v>
      </c>
    </row>
    <row r="5400" spans="1:11" x14ac:dyDescent="0.2">
      <c r="A5400" t="s">
        <v>56</v>
      </c>
      <c r="B5400" t="s">
        <v>867</v>
      </c>
      <c r="C5400" t="s">
        <v>16595</v>
      </c>
      <c r="D5400" t="s">
        <v>16596</v>
      </c>
      <c r="E5400" t="s">
        <v>108</v>
      </c>
      <c r="F5400" t="s">
        <v>24</v>
      </c>
      <c r="G5400" t="s">
        <v>24</v>
      </c>
      <c r="H5400">
        <f>11138*(1.01^10)</f>
        <v>12303.281232829999</v>
      </c>
      <c r="I5400">
        <f>42392*(1.01^10)</f>
        <v>46827.141140431791</v>
      </c>
      <c r="J5400" t="s">
        <v>16597</v>
      </c>
      <c r="K5400">
        <f t="shared" si="84"/>
        <v>108.83948079218328</v>
      </c>
    </row>
    <row r="5401" spans="1:11" x14ac:dyDescent="0.2">
      <c r="A5401" t="s">
        <v>56</v>
      </c>
      <c r="B5401" t="s">
        <v>867</v>
      </c>
      <c r="C5401" t="s">
        <v>16598</v>
      </c>
      <c r="D5401" t="s">
        <v>16599</v>
      </c>
      <c r="E5401" t="s">
        <v>382</v>
      </c>
      <c r="F5401" t="s">
        <v>24</v>
      </c>
      <c r="G5401" t="s">
        <v>24</v>
      </c>
      <c r="H5401">
        <f>8137*(1.01^10)</f>
        <v>8988.3102344709732</v>
      </c>
      <c r="I5401">
        <f>31404*(1.01^10)</f>
        <v>34689.553226413474</v>
      </c>
      <c r="J5401" t="s">
        <v>16600</v>
      </c>
      <c r="K5401">
        <f t="shared" si="84"/>
        <v>95.697710370963563</v>
      </c>
    </row>
    <row r="5402" spans="1:11" x14ac:dyDescent="0.2">
      <c r="A5402" t="s">
        <v>56</v>
      </c>
      <c r="B5402" t="s">
        <v>867</v>
      </c>
      <c r="C5402" t="s">
        <v>16601</v>
      </c>
      <c r="D5402" t="s">
        <v>16602</v>
      </c>
      <c r="E5402" t="s">
        <v>382</v>
      </c>
      <c r="F5402" t="s">
        <v>12</v>
      </c>
      <c r="G5402" t="s">
        <v>24</v>
      </c>
      <c r="H5402">
        <f>6687*(1.01^10)</f>
        <v>7386.6081526247262</v>
      </c>
      <c r="I5402">
        <f>26183*(1.01^10)</f>
        <v>28922.321109641573</v>
      </c>
      <c r="J5402" t="s">
        <v>16603</v>
      </c>
      <c r="K5402">
        <f t="shared" si="84"/>
        <v>152.06068823120481</v>
      </c>
    </row>
    <row r="5403" spans="1:11" x14ac:dyDescent="0.2">
      <c r="A5403" t="s">
        <v>56</v>
      </c>
      <c r="B5403" t="s">
        <v>867</v>
      </c>
      <c r="C5403" t="s">
        <v>16604</v>
      </c>
      <c r="D5403" t="s">
        <v>16605</v>
      </c>
      <c r="E5403" t="s">
        <v>44</v>
      </c>
      <c r="F5403" t="s">
        <v>24</v>
      </c>
      <c r="G5403" t="s">
        <v>12</v>
      </c>
      <c r="H5403">
        <f>29935*(1.01^10)</f>
        <v>33066.863324184415</v>
      </c>
      <c r="I5403">
        <f>125373*(1.01^10)</f>
        <v>138489.78972917897</v>
      </c>
      <c r="J5403" t="s">
        <v>16606</v>
      </c>
      <c r="K5403">
        <f t="shared" si="84"/>
        <v>570.6457802909614</v>
      </c>
    </row>
    <row r="5404" spans="1:11" x14ac:dyDescent="0.2">
      <c r="A5404" t="s">
        <v>56</v>
      </c>
      <c r="B5404" t="s">
        <v>867</v>
      </c>
      <c r="C5404" t="s">
        <v>16607</v>
      </c>
      <c r="D5404" t="s">
        <v>16608</v>
      </c>
      <c r="E5404" t="s">
        <v>405</v>
      </c>
      <c r="F5404" t="s">
        <v>24</v>
      </c>
      <c r="G5404" t="s">
        <v>24</v>
      </c>
      <c r="H5404">
        <f>10567*(1.01^10)</f>
        <v>11672.541999220201</v>
      </c>
      <c r="I5404">
        <f>41376*(1.01^10)</f>
        <v>45704.845061014006</v>
      </c>
      <c r="J5404" t="s">
        <v>16609</v>
      </c>
      <c r="K5404">
        <f t="shared" si="84"/>
        <v>167.9326767003167</v>
      </c>
    </row>
    <row r="5405" spans="1:11" x14ac:dyDescent="0.2">
      <c r="A5405" t="s">
        <v>56</v>
      </c>
      <c r="B5405" t="s">
        <v>867</v>
      </c>
      <c r="C5405" t="s">
        <v>16610</v>
      </c>
      <c r="D5405" t="s">
        <v>16611</v>
      </c>
      <c r="E5405" t="s">
        <v>152</v>
      </c>
      <c r="F5405" t="s">
        <v>24</v>
      </c>
      <c r="G5405" t="s">
        <v>24</v>
      </c>
      <c r="H5405">
        <f>10763*(1.01^10)</f>
        <v>11889.047935800796</v>
      </c>
      <c r="I5405">
        <f>40149*(1.01^10)</f>
        <v>44349.473713134459</v>
      </c>
      <c r="J5405" t="s">
        <v>16612</v>
      </c>
      <c r="K5405">
        <f t="shared" si="84"/>
        <v>135.99701545330734</v>
      </c>
    </row>
    <row r="5406" spans="1:11" x14ac:dyDescent="0.2">
      <c r="A5406" t="s">
        <v>56</v>
      </c>
      <c r="B5406" t="s">
        <v>867</v>
      </c>
      <c r="C5406" t="s">
        <v>16613</v>
      </c>
      <c r="D5406" t="s">
        <v>16614</v>
      </c>
      <c r="E5406" t="s">
        <v>1340</v>
      </c>
      <c r="F5406" t="s">
        <v>17</v>
      </c>
      <c r="G5406" t="s">
        <v>24</v>
      </c>
      <c r="H5406">
        <f>10696*(1.01^10)</f>
        <v>11815.038253398247</v>
      </c>
      <c r="I5406">
        <f>39046*(1.01^10)</f>
        <v>43131.075508805901</v>
      </c>
      <c r="J5406" t="s">
        <v>16615</v>
      </c>
      <c r="K5406">
        <f t="shared" si="84"/>
        <v>176.88024419079821</v>
      </c>
    </row>
    <row r="5407" spans="1:11" x14ac:dyDescent="0.2">
      <c r="A5407" t="s">
        <v>56</v>
      </c>
      <c r="B5407" t="s">
        <v>867</v>
      </c>
      <c r="C5407" t="s">
        <v>16616</v>
      </c>
      <c r="D5407" t="s">
        <v>16617</v>
      </c>
      <c r="E5407" t="s">
        <v>108</v>
      </c>
      <c r="F5407" t="s">
        <v>24</v>
      </c>
      <c r="G5407" t="s">
        <v>24</v>
      </c>
      <c r="H5407">
        <f>10999*(1.01^10)</f>
        <v>12149.738757397841</v>
      </c>
      <c r="I5407">
        <f>44351*(1.01^10)</f>
        <v>48991.095884112343</v>
      </c>
      <c r="J5407" t="s">
        <v>16618</v>
      </c>
      <c r="K5407">
        <f t="shared" si="84"/>
        <v>134.05456725442582</v>
      </c>
    </row>
    <row r="5408" spans="1:11" x14ac:dyDescent="0.2">
      <c r="A5408" t="s">
        <v>56</v>
      </c>
      <c r="B5408" t="s">
        <v>867</v>
      </c>
      <c r="C5408" t="s">
        <v>16619</v>
      </c>
      <c r="D5408" t="s">
        <v>9983</v>
      </c>
      <c r="E5408" t="s">
        <v>405</v>
      </c>
      <c r="F5408" t="s">
        <v>24</v>
      </c>
      <c r="G5408" t="s">
        <v>24</v>
      </c>
      <c r="H5408">
        <f>8063*(1.01^10)</f>
        <v>8906.5681971905433</v>
      </c>
      <c r="I5408">
        <f>34001*(1.01^10)</f>
        <v>37558.25688610637</v>
      </c>
      <c r="J5408" t="s">
        <v>16620</v>
      </c>
      <c r="K5408">
        <f t="shared" si="84"/>
        <v>111.09637194447512</v>
      </c>
    </row>
    <row r="5409" spans="1:11" x14ac:dyDescent="0.2">
      <c r="A5409" t="s">
        <v>56</v>
      </c>
      <c r="B5409" t="s">
        <v>867</v>
      </c>
      <c r="C5409" t="s">
        <v>16621</v>
      </c>
      <c r="D5409" t="s">
        <v>16622</v>
      </c>
      <c r="E5409" t="s">
        <v>422</v>
      </c>
      <c r="F5409" t="s">
        <v>12</v>
      </c>
      <c r="G5409" t="s">
        <v>24</v>
      </c>
      <c r="H5409">
        <f>11536*(1.01^10)</f>
        <v>12742.920838743657</v>
      </c>
      <c r="I5409">
        <f>51168*(1.01^10)</f>
        <v>56521.304913040527</v>
      </c>
      <c r="J5409" t="s">
        <v>16623</v>
      </c>
      <c r="K5409">
        <f t="shared" si="84"/>
        <v>155.2312759728448</v>
      </c>
    </row>
    <row r="5410" spans="1:11" x14ac:dyDescent="0.2">
      <c r="A5410" t="s">
        <v>56</v>
      </c>
      <c r="B5410" t="s">
        <v>867</v>
      </c>
      <c r="C5410" t="s">
        <v>16624</v>
      </c>
      <c r="D5410" t="s">
        <v>16625</v>
      </c>
      <c r="E5410" t="s">
        <v>356</v>
      </c>
      <c r="F5410" t="s">
        <v>12</v>
      </c>
      <c r="G5410" t="s">
        <v>24</v>
      </c>
      <c r="H5410">
        <f>18763*(1.01^10)</f>
        <v>20726.024939090436</v>
      </c>
      <c r="I5410">
        <f>81227*(1.01^10)</f>
        <v>89725.141380775924</v>
      </c>
      <c r="J5410" t="s">
        <v>16626</v>
      </c>
      <c r="K5410">
        <f t="shared" si="84"/>
        <v>268.06098805227725</v>
      </c>
    </row>
    <row r="5411" spans="1:11" x14ac:dyDescent="0.2">
      <c r="A5411" t="s">
        <v>56</v>
      </c>
      <c r="B5411" t="s">
        <v>867</v>
      </c>
      <c r="C5411" t="s">
        <v>16627</v>
      </c>
      <c r="D5411" t="s">
        <v>16628</v>
      </c>
      <c r="E5411" t="s">
        <v>152</v>
      </c>
      <c r="F5411" t="s">
        <v>12</v>
      </c>
      <c r="G5411" t="s">
        <v>24</v>
      </c>
      <c r="H5411">
        <f>12132*(1.01^10)</f>
        <v>13401.275625488735</v>
      </c>
      <c r="I5411">
        <f>55771*(1.01^10)</f>
        <v>61605.880556308301</v>
      </c>
      <c r="J5411" t="s">
        <v>16629</v>
      </c>
      <c r="K5411">
        <f t="shared" si="84"/>
        <v>282.9049561731548</v>
      </c>
    </row>
    <row r="5412" spans="1:11" x14ac:dyDescent="0.2">
      <c r="A5412" t="s">
        <v>56</v>
      </c>
      <c r="B5412" t="s">
        <v>867</v>
      </c>
      <c r="C5412" t="s">
        <v>16630</v>
      </c>
      <c r="D5412" t="s">
        <v>16631</v>
      </c>
      <c r="E5412" t="s">
        <v>458</v>
      </c>
      <c r="F5412" t="s">
        <v>24</v>
      </c>
      <c r="G5412" t="s">
        <v>24</v>
      </c>
      <c r="H5412">
        <f>11486*(1.01^10)</f>
        <v>12687.689732473098</v>
      </c>
      <c r="I5412">
        <f>52610*(1.01^10)</f>
        <v>58114.17001788348</v>
      </c>
      <c r="J5412" t="s">
        <v>16632</v>
      </c>
      <c r="K5412">
        <f t="shared" si="84"/>
        <v>239.92912348684291</v>
      </c>
    </row>
    <row r="5413" spans="1:11" x14ac:dyDescent="0.2">
      <c r="A5413" t="s">
        <v>56</v>
      </c>
      <c r="B5413" t="s">
        <v>867</v>
      </c>
      <c r="C5413" t="s">
        <v>16633</v>
      </c>
      <c r="D5413" t="s">
        <v>16634</v>
      </c>
      <c r="E5413" t="s">
        <v>6</v>
      </c>
      <c r="F5413" t="s">
        <v>24</v>
      </c>
      <c r="G5413" t="s">
        <v>24</v>
      </c>
      <c r="H5413">
        <f>8805*(1.01^10)</f>
        <v>9726.1978142456574</v>
      </c>
      <c r="I5413">
        <f>39964*(1.01^10)</f>
        <v>44145.11861993339</v>
      </c>
      <c r="J5413" t="s">
        <v>16635</v>
      </c>
      <c r="K5413">
        <f t="shared" si="84"/>
        <v>271.79514478244408</v>
      </c>
    </row>
    <row r="5414" spans="1:11" x14ac:dyDescent="0.2">
      <c r="A5414" t="s">
        <v>56</v>
      </c>
      <c r="B5414" t="s">
        <v>867</v>
      </c>
      <c r="C5414" t="s">
        <v>16636</v>
      </c>
      <c r="D5414" t="s">
        <v>16637</v>
      </c>
      <c r="E5414" t="s">
        <v>152</v>
      </c>
      <c r="F5414" t="s">
        <v>12</v>
      </c>
      <c r="G5414" t="s">
        <v>24</v>
      </c>
      <c r="H5414">
        <f>7963*(1.01^10)</f>
        <v>8796.1059846494227</v>
      </c>
      <c r="I5414">
        <f>36253*(1.01^10)</f>
        <v>40045.865912532405</v>
      </c>
      <c r="J5414" t="s">
        <v>16638</v>
      </c>
      <c r="K5414">
        <f t="shared" si="84"/>
        <v>324.61570986779498</v>
      </c>
    </row>
    <row r="5415" spans="1:11" x14ac:dyDescent="0.2">
      <c r="A5415" t="s">
        <v>56</v>
      </c>
      <c r="B5415" t="s">
        <v>867</v>
      </c>
      <c r="C5415" t="s">
        <v>16639</v>
      </c>
      <c r="D5415" t="s">
        <v>16640</v>
      </c>
      <c r="E5415" t="s">
        <v>44</v>
      </c>
      <c r="F5415" t="s">
        <v>24</v>
      </c>
      <c r="G5415" t="s">
        <v>24</v>
      </c>
      <c r="H5415">
        <f>13767*(1.01^10)</f>
        <v>15207.332800536056</v>
      </c>
      <c r="I5415">
        <f>58225*(1.01^10)</f>
        <v>64316.623252067395</v>
      </c>
      <c r="J5415" t="s">
        <v>16641</v>
      </c>
      <c r="K5415">
        <f t="shared" si="84"/>
        <v>424.84413594571606</v>
      </c>
    </row>
    <row r="5416" spans="1:11" x14ac:dyDescent="0.2">
      <c r="A5416" t="s">
        <v>56</v>
      </c>
      <c r="B5416" t="s">
        <v>867</v>
      </c>
      <c r="C5416" t="s">
        <v>16642</v>
      </c>
      <c r="D5416" t="s">
        <v>16643</v>
      </c>
      <c r="E5416" t="s">
        <v>44</v>
      </c>
      <c r="F5416" t="s">
        <v>12</v>
      </c>
      <c r="G5416" t="s">
        <v>24</v>
      </c>
      <c r="H5416">
        <f>13713*(1.01^10)</f>
        <v>15147.683205763851</v>
      </c>
      <c r="I5416">
        <f>55383*(1.01^10)</f>
        <v>61177.28717164875</v>
      </c>
      <c r="J5416" t="s">
        <v>16644</v>
      </c>
      <c r="K5416">
        <f t="shared" si="84"/>
        <v>202.50714496940563</v>
      </c>
    </row>
    <row r="5417" spans="1:11" x14ac:dyDescent="0.2">
      <c r="A5417" t="s">
        <v>56</v>
      </c>
      <c r="B5417" t="s">
        <v>867</v>
      </c>
      <c r="C5417" t="s">
        <v>16645</v>
      </c>
      <c r="D5417" t="s">
        <v>16646</v>
      </c>
      <c r="E5417" t="s">
        <v>108</v>
      </c>
      <c r="F5417" t="s">
        <v>24</v>
      </c>
      <c r="G5417" t="s">
        <v>12</v>
      </c>
      <c r="H5417">
        <f>15472*(1.01^10)</f>
        <v>17090.71352436216</v>
      </c>
      <c r="I5417">
        <f>59000*(1.01^10)</f>
        <v>65172.705399261082</v>
      </c>
      <c r="J5417" t="s">
        <v>16647</v>
      </c>
      <c r="K5417">
        <f t="shared" si="84"/>
        <v>275.2587833074848</v>
      </c>
    </row>
    <row r="5418" spans="1:11" x14ac:dyDescent="0.2">
      <c r="A5418" t="s">
        <v>56</v>
      </c>
      <c r="B5418" t="s">
        <v>867</v>
      </c>
      <c r="C5418" t="s">
        <v>16648</v>
      </c>
      <c r="D5418" t="s">
        <v>16649</v>
      </c>
      <c r="E5418" t="s">
        <v>318</v>
      </c>
      <c r="F5418" t="s">
        <v>24</v>
      </c>
      <c r="G5418" t="s">
        <v>24</v>
      </c>
      <c r="H5418">
        <f>12111*(1.01^10)</f>
        <v>13378.078560855101</v>
      </c>
      <c r="I5418">
        <f>48308*(1.01^10)</f>
        <v>53362.085634364477</v>
      </c>
      <c r="J5418" t="s">
        <v>16650</v>
      </c>
      <c r="K5418">
        <f t="shared" si="84"/>
        <v>195.29773697780431</v>
      </c>
    </row>
    <row r="5419" spans="1:11" x14ac:dyDescent="0.2">
      <c r="A5419" t="s">
        <v>56</v>
      </c>
      <c r="B5419" t="s">
        <v>867</v>
      </c>
      <c r="C5419" t="s">
        <v>16651</v>
      </c>
      <c r="D5419" t="s">
        <v>16652</v>
      </c>
      <c r="E5419" t="s">
        <v>108</v>
      </c>
      <c r="F5419" t="s">
        <v>24</v>
      </c>
      <c r="G5419" t="s">
        <v>24</v>
      </c>
      <c r="H5419">
        <f>7996*(1.01^10)</f>
        <v>8832.5585147879938</v>
      </c>
      <c r="I5419">
        <f>31036*(1.01^10)</f>
        <v>34283.05228426215</v>
      </c>
      <c r="J5419" t="s">
        <v>16653</v>
      </c>
      <c r="K5419">
        <f t="shared" si="84"/>
        <v>233.06349089186045</v>
      </c>
    </row>
    <row r="5420" spans="1:11" x14ac:dyDescent="0.2">
      <c r="A5420" t="s">
        <v>56</v>
      </c>
      <c r="B5420" t="s">
        <v>867</v>
      </c>
      <c r="C5420" t="s">
        <v>16654</v>
      </c>
      <c r="D5420" t="s">
        <v>16655</v>
      </c>
      <c r="E5420" t="s">
        <v>445</v>
      </c>
      <c r="F5420" t="s">
        <v>17</v>
      </c>
      <c r="G5420" t="s">
        <v>24</v>
      </c>
      <c r="H5420">
        <f>12211*(1.01^10)</f>
        <v>13488.540773396222</v>
      </c>
      <c r="I5420">
        <f>47946*(1.01^10)</f>
        <v>52962.212424965626</v>
      </c>
      <c r="J5420" t="s">
        <v>16656</v>
      </c>
      <c r="K5420">
        <f t="shared" si="84"/>
        <v>149.95396285661633</v>
      </c>
    </row>
    <row r="5421" spans="1:11" x14ac:dyDescent="0.2">
      <c r="A5421" t="s">
        <v>56</v>
      </c>
      <c r="B5421" t="s">
        <v>867</v>
      </c>
      <c r="C5421" t="s">
        <v>16657</v>
      </c>
      <c r="D5421" t="s">
        <v>16658</v>
      </c>
      <c r="E5421" t="s">
        <v>458</v>
      </c>
      <c r="F5421" t="s">
        <v>17</v>
      </c>
      <c r="G5421" t="s">
        <v>24</v>
      </c>
      <c r="H5421">
        <f>7355*(1.01^10)</f>
        <v>8124.4957323994113</v>
      </c>
      <c r="I5421">
        <f>29520*(1.01^10)</f>
        <v>32608.445142138764</v>
      </c>
      <c r="J5421" t="s">
        <v>16659</v>
      </c>
      <c r="K5421">
        <f t="shared" si="84"/>
        <v>127.56908604503138</v>
      </c>
    </row>
    <row r="5422" spans="1:11" x14ac:dyDescent="0.2">
      <c r="A5422" t="s">
        <v>56</v>
      </c>
      <c r="B5422" t="s">
        <v>867</v>
      </c>
      <c r="C5422" t="s">
        <v>16660</v>
      </c>
      <c r="D5422" t="s">
        <v>16661</v>
      </c>
      <c r="E5422" t="s">
        <v>445</v>
      </c>
      <c r="F5422" t="s">
        <v>11</v>
      </c>
      <c r="G5422" t="s">
        <v>24</v>
      </c>
      <c r="H5422">
        <f>19125*(1.01^10)</f>
        <v>21125.89814848929</v>
      </c>
      <c r="I5422">
        <f>77271*(1.01^10)</f>
        <v>85355.256252649197</v>
      </c>
      <c r="J5422" t="s">
        <v>16662</v>
      </c>
      <c r="K5422">
        <f t="shared" si="84"/>
        <v>239.36495623720546</v>
      </c>
    </row>
    <row r="5423" spans="1:11" x14ac:dyDescent="0.2">
      <c r="A5423" t="s">
        <v>56</v>
      </c>
      <c r="B5423" t="s">
        <v>867</v>
      </c>
      <c r="C5423" t="s">
        <v>16663</v>
      </c>
      <c r="D5423" t="s">
        <v>16664</v>
      </c>
      <c r="E5423" t="s">
        <v>356</v>
      </c>
      <c r="F5423" t="s">
        <v>24</v>
      </c>
      <c r="G5423" t="s">
        <v>12</v>
      </c>
      <c r="H5423">
        <f>11670*(1.01^10)</f>
        <v>12890.94020354876</v>
      </c>
      <c r="I5423">
        <f>47591*(1.01^10)</f>
        <v>52570.071570444648</v>
      </c>
      <c r="J5423" t="s">
        <v>16665</v>
      </c>
      <c r="K5423">
        <f t="shared" si="84"/>
        <v>239.08850980468978</v>
      </c>
    </row>
    <row r="5424" spans="1:11" x14ac:dyDescent="0.2">
      <c r="A5424" t="s">
        <v>56</v>
      </c>
      <c r="B5424" t="s">
        <v>867</v>
      </c>
      <c r="C5424" t="s">
        <v>16666</v>
      </c>
      <c r="D5424" t="s">
        <v>16667</v>
      </c>
      <c r="E5424" t="s">
        <v>318</v>
      </c>
      <c r="F5424" t="s">
        <v>24</v>
      </c>
      <c r="G5424" t="s">
        <v>12</v>
      </c>
      <c r="H5424">
        <f>46860*(1.01^10)</f>
        <v>51762.592796769051</v>
      </c>
      <c r="I5424">
        <f>203538*(1.01^10)</f>
        <v>224832.5781619458</v>
      </c>
      <c r="J5424" t="s">
        <v>16668</v>
      </c>
      <c r="K5424">
        <f t="shared" si="84"/>
        <v>1124.9624758350833</v>
      </c>
    </row>
    <row r="5425" spans="1:11" x14ac:dyDescent="0.2">
      <c r="A5425" t="s">
        <v>56</v>
      </c>
      <c r="B5425" t="s">
        <v>867</v>
      </c>
      <c r="C5425" t="s">
        <v>16669</v>
      </c>
      <c r="D5425" t="s">
        <v>16670</v>
      </c>
      <c r="E5425" t="s">
        <v>405</v>
      </c>
      <c r="F5425" t="s">
        <v>24</v>
      </c>
      <c r="G5425" t="s">
        <v>24</v>
      </c>
      <c r="H5425">
        <f>10493*(1.01^10)</f>
        <v>11590.799961939771</v>
      </c>
      <c r="I5425">
        <f>45122*(1.01^10)</f>
        <v>49842.759542804379</v>
      </c>
      <c r="J5425" t="s">
        <v>16671</v>
      </c>
      <c r="K5425">
        <f t="shared" si="84"/>
        <v>329.78806605827515</v>
      </c>
    </row>
    <row r="5426" spans="1:11" x14ac:dyDescent="0.2">
      <c r="A5426" t="s">
        <v>56</v>
      </c>
      <c r="B5426" t="s">
        <v>867</v>
      </c>
      <c r="C5426" t="s">
        <v>16672</v>
      </c>
      <c r="D5426" t="s">
        <v>16673</v>
      </c>
      <c r="E5426" t="s">
        <v>274</v>
      </c>
      <c r="F5426" t="s">
        <v>158</v>
      </c>
      <c r="G5426" t="s">
        <v>24</v>
      </c>
      <c r="H5426">
        <f>12217*(1.01^10)</f>
        <v>13495.168506148688</v>
      </c>
      <c r="I5426">
        <f>51456*(1.01^10)</f>
        <v>56839.436085158952</v>
      </c>
      <c r="J5426" t="s">
        <v>16674</v>
      </c>
      <c r="K5426">
        <f t="shared" si="84"/>
        <v>227.54480803859531</v>
      </c>
    </row>
    <row r="5427" spans="1:11" x14ac:dyDescent="0.2">
      <c r="A5427" t="s">
        <v>56</v>
      </c>
      <c r="B5427" t="s">
        <v>5469</v>
      </c>
      <c r="C5427" t="s">
        <v>16675</v>
      </c>
      <c r="D5427" t="s">
        <v>16676</v>
      </c>
      <c r="E5427" t="s">
        <v>274</v>
      </c>
      <c r="F5427" t="s">
        <v>17</v>
      </c>
      <c r="G5427" t="s">
        <v>24</v>
      </c>
      <c r="H5427">
        <f>11537*(1.01^10)</f>
        <v>12744.025460869068</v>
      </c>
      <c r="I5427">
        <f>45556*(1.01^10)</f>
        <v>50322.165545232841</v>
      </c>
      <c r="J5427" t="s">
        <v>16677</v>
      </c>
      <c r="K5427">
        <f t="shared" si="84"/>
        <v>187.45179865136848</v>
      </c>
    </row>
    <row r="5428" spans="1:11" x14ac:dyDescent="0.2">
      <c r="A5428" t="s">
        <v>56</v>
      </c>
      <c r="B5428" t="s">
        <v>5469</v>
      </c>
      <c r="C5428" t="s">
        <v>16678</v>
      </c>
      <c r="D5428" t="s">
        <v>16679</v>
      </c>
      <c r="E5428" t="s">
        <v>44</v>
      </c>
      <c r="F5428" t="s">
        <v>12</v>
      </c>
      <c r="G5428" t="s">
        <v>24</v>
      </c>
      <c r="H5428">
        <f>10343*(1.01^10)</f>
        <v>11425.106643128091</v>
      </c>
      <c r="I5428">
        <f>39914*(1.01^10)</f>
        <v>44089.887513662827</v>
      </c>
      <c r="J5428" t="s">
        <v>16680</v>
      </c>
      <c r="K5428">
        <f t="shared" si="84"/>
        <v>133.84908170510877</v>
      </c>
    </row>
    <row r="5429" spans="1:11" x14ac:dyDescent="0.2">
      <c r="A5429" t="s">
        <v>56</v>
      </c>
      <c r="B5429" t="s">
        <v>5469</v>
      </c>
      <c r="C5429" t="s">
        <v>16681</v>
      </c>
      <c r="D5429" t="s">
        <v>16682</v>
      </c>
      <c r="E5429" t="s">
        <v>744</v>
      </c>
      <c r="F5429" t="s">
        <v>24</v>
      </c>
      <c r="G5429" t="s">
        <v>24</v>
      </c>
      <c r="H5429">
        <f>9121*(1.01^10)</f>
        <v>10075.258405875598</v>
      </c>
      <c r="I5429">
        <f>34502*(1.01^10)</f>
        <v>38111.672570937386</v>
      </c>
      <c r="J5429" t="s">
        <v>16683</v>
      </c>
      <c r="K5429">
        <f t="shared" si="84"/>
        <v>145.97523474262431</v>
      </c>
    </row>
    <row r="5430" spans="1:11" x14ac:dyDescent="0.2">
      <c r="A5430" t="s">
        <v>56</v>
      </c>
      <c r="B5430" t="s">
        <v>5469</v>
      </c>
      <c r="C5430" t="s">
        <v>16684</v>
      </c>
      <c r="D5430" t="s">
        <v>16685</v>
      </c>
      <c r="E5430" t="s">
        <v>411</v>
      </c>
      <c r="F5430" t="s">
        <v>24</v>
      </c>
      <c r="G5430" t="s">
        <v>24</v>
      </c>
      <c r="H5430">
        <f>10885*(1.01^10)</f>
        <v>12023.811835100963</v>
      </c>
      <c r="I5430">
        <f>42772*(1.01^10)</f>
        <v>47246.897548088047</v>
      </c>
      <c r="J5430" t="s">
        <v>16686</v>
      </c>
      <c r="K5430">
        <f t="shared" si="84"/>
        <v>182.19774021879408</v>
      </c>
    </row>
    <row r="5431" spans="1:11" x14ac:dyDescent="0.2">
      <c r="A5431" t="s">
        <v>56</v>
      </c>
      <c r="B5431" t="s">
        <v>5469</v>
      </c>
      <c r="C5431" t="s">
        <v>16687</v>
      </c>
      <c r="D5431" t="s">
        <v>16688</v>
      </c>
      <c r="E5431" t="s">
        <v>44</v>
      </c>
      <c r="F5431" t="s">
        <v>24</v>
      </c>
      <c r="G5431" t="s">
        <v>24</v>
      </c>
      <c r="H5431">
        <f>9125*(1.01^10)</f>
        <v>10079.676894377244</v>
      </c>
      <c r="I5431">
        <f>34326*(1.01^10)</f>
        <v>37917.259076865012</v>
      </c>
      <c r="J5431" t="s">
        <v>16689</v>
      </c>
      <c r="K5431">
        <f t="shared" si="84"/>
        <v>158.99995405127524</v>
      </c>
    </row>
    <row r="5432" spans="1:11" x14ac:dyDescent="0.2">
      <c r="A5432" t="s">
        <v>56</v>
      </c>
      <c r="B5432" t="s">
        <v>5469</v>
      </c>
      <c r="C5432" t="s">
        <v>16690</v>
      </c>
      <c r="D5432" t="s">
        <v>16691</v>
      </c>
      <c r="E5432" t="s">
        <v>422</v>
      </c>
      <c r="F5432" t="s">
        <v>12</v>
      </c>
      <c r="G5432" t="s">
        <v>24</v>
      </c>
      <c r="H5432">
        <f>11081*(1.01^10)</f>
        <v>12240.317771681559</v>
      </c>
      <c r="I5432">
        <f>42351*(1.01^10)</f>
        <v>46781.851633289931</v>
      </c>
      <c r="J5432" t="s">
        <v>16692</v>
      </c>
      <c r="K5432">
        <f t="shared" si="84"/>
        <v>167.15841564763682</v>
      </c>
    </row>
    <row r="5433" spans="1:11" x14ac:dyDescent="0.2">
      <c r="A5433" t="s">
        <v>56</v>
      </c>
      <c r="B5433" t="s">
        <v>5469</v>
      </c>
      <c r="C5433" t="s">
        <v>16693</v>
      </c>
      <c r="D5433" t="s">
        <v>15791</v>
      </c>
      <c r="E5433" t="s">
        <v>6</v>
      </c>
      <c r="F5433" t="s">
        <v>24</v>
      </c>
      <c r="G5433" t="s">
        <v>24</v>
      </c>
      <c r="H5433">
        <f>7096*(1.01^10)</f>
        <v>7838.3986019179092</v>
      </c>
      <c r="I5433">
        <f>26335*(1.01^10)</f>
        <v>29090.223672704076</v>
      </c>
      <c r="J5433" t="s">
        <v>16694</v>
      </c>
      <c r="K5433">
        <f t="shared" si="84"/>
        <v>209.89746070092497</v>
      </c>
    </row>
    <row r="5434" spans="1:11" x14ac:dyDescent="0.2">
      <c r="A5434" t="s">
        <v>56</v>
      </c>
      <c r="B5434" t="s">
        <v>5469</v>
      </c>
      <c r="C5434" t="s">
        <v>16695</v>
      </c>
      <c r="D5434" t="s">
        <v>16696</v>
      </c>
      <c r="E5434" t="s">
        <v>405</v>
      </c>
      <c r="F5434" t="s">
        <v>24</v>
      </c>
      <c r="G5434" t="s">
        <v>24</v>
      </c>
      <c r="H5434">
        <f>7816*(1.01^10)</f>
        <v>8633.7265322139756</v>
      </c>
      <c r="I5434">
        <f>28011*(1.01^10)</f>
        <v>30941.570354893258</v>
      </c>
      <c r="J5434" t="s">
        <v>16697</v>
      </c>
      <c r="K5434">
        <f t="shared" si="84"/>
        <v>99.528526071163981</v>
      </c>
    </row>
    <row r="5435" spans="1:11" x14ac:dyDescent="0.2">
      <c r="A5435" t="s">
        <v>56</v>
      </c>
      <c r="B5435" t="s">
        <v>5469</v>
      </c>
      <c r="C5435" t="s">
        <v>16698</v>
      </c>
      <c r="D5435" t="s">
        <v>16699</v>
      </c>
      <c r="E5435" t="s">
        <v>77</v>
      </c>
      <c r="F5435" t="s">
        <v>24</v>
      </c>
      <c r="G5435" t="s">
        <v>5</v>
      </c>
      <c r="H5435">
        <f>29369*(1.01^10)</f>
        <v>32441.647201201671</v>
      </c>
      <c r="I5435">
        <f>117445*(1.01^10)</f>
        <v>129732.34551891894</v>
      </c>
      <c r="J5435" t="s">
        <v>16700</v>
      </c>
      <c r="K5435">
        <f t="shared" si="84"/>
        <v>1534.1930065050772</v>
      </c>
    </row>
    <row r="5436" spans="1:11" x14ac:dyDescent="0.2">
      <c r="A5436" t="s">
        <v>56</v>
      </c>
      <c r="B5436" t="s">
        <v>5469</v>
      </c>
      <c r="C5436" t="s">
        <v>16701</v>
      </c>
      <c r="D5436" t="s">
        <v>16702</v>
      </c>
      <c r="E5436" t="s">
        <v>1656</v>
      </c>
      <c r="F5436" t="s">
        <v>12</v>
      </c>
      <c r="G5436" t="s">
        <v>12</v>
      </c>
      <c r="H5436">
        <f>19339*(1.01^10)</f>
        <v>21362.287283327289</v>
      </c>
      <c r="I5436">
        <f>75789*(1.01^10)</f>
        <v>83718.206262789798</v>
      </c>
      <c r="J5436" t="s">
        <v>16703</v>
      </c>
      <c r="K5436">
        <f t="shared" si="84"/>
        <v>470.98596686615173</v>
      </c>
    </row>
    <row r="5437" spans="1:11" x14ac:dyDescent="0.2">
      <c r="A5437" t="s">
        <v>56</v>
      </c>
      <c r="B5437" t="s">
        <v>5469</v>
      </c>
      <c r="C5437" t="s">
        <v>16704</v>
      </c>
      <c r="D5437" t="s">
        <v>16705</v>
      </c>
      <c r="E5437" t="s">
        <v>103</v>
      </c>
      <c r="F5437" t="s">
        <v>17</v>
      </c>
      <c r="G5437" t="s">
        <v>24</v>
      </c>
      <c r="H5437">
        <f>14635*(1.01^10)</f>
        <v>16166.144805392982</v>
      </c>
      <c r="I5437">
        <f>56403*(1.01^10)</f>
        <v>62304.001739568179</v>
      </c>
      <c r="J5437" t="s">
        <v>16706</v>
      </c>
      <c r="K5437">
        <f t="shared" si="84"/>
        <v>273.95114923647009</v>
      </c>
    </row>
    <row r="5438" spans="1:11" x14ac:dyDescent="0.2">
      <c r="A5438" t="s">
        <v>56</v>
      </c>
      <c r="B5438" t="s">
        <v>5469</v>
      </c>
      <c r="C5438" t="s">
        <v>16707</v>
      </c>
      <c r="D5438" t="s">
        <v>16708</v>
      </c>
      <c r="E5438" t="s">
        <v>264</v>
      </c>
      <c r="F5438" t="s">
        <v>92</v>
      </c>
      <c r="G5438" t="s">
        <v>12</v>
      </c>
      <c r="H5438">
        <f>34860*(1.01^10)</f>
        <v>38507.1272918346</v>
      </c>
      <c r="I5438">
        <f>137637*(1.01^10)</f>
        <v>152036.87547522198</v>
      </c>
      <c r="J5438" t="s">
        <v>16709</v>
      </c>
      <c r="K5438">
        <f t="shared" si="84"/>
        <v>420.29836850411948</v>
      </c>
    </row>
    <row r="5439" spans="1:11" x14ac:dyDescent="0.2">
      <c r="A5439" t="s">
        <v>56</v>
      </c>
      <c r="B5439" t="s">
        <v>5469</v>
      </c>
      <c r="C5439" t="s">
        <v>16710</v>
      </c>
      <c r="D5439" t="s">
        <v>16711</v>
      </c>
      <c r="E5439" t="s">
        <v>829</v>
      </c>
      <c r="F5439" t="s">
        <v>12</v>
      </c>
      <c r="G5439" t="s">
        <v>24</v>
      </c>
      <c r="H5439">
        <f>11614*(1.01^10)</f>
        <v>12829.081364525731</v>
      </c>
      <c r="I5439">
        <f>43044*(1.01^10)</f>
        <v>47547.354766199896</v>
      </c>
      <c r="J5439" t="s">
        <v>16712</v>
      </c>
      <c r="K5439">
        <f t="shared" si="84"/>
        <v>232.29447564460006</v>
      </c>
    </row>
    <row r="5440" spans="1:11" x14ac:dyDescent="0.2">
      <c r="A5440" t="s">
        <v>56</v>
      </c>
      <c r="B5440" t="s">
        <v>5469</v>
      </c>
      <c r="C5440" t="s">
        <v>16713</v>
      </c>
      <c r="D5440" t="s">
        <v>16714</v>
      </c>
      <c r="E5440" t="s">
        <v>726</v>
      </c>
      <c r="F5440" t="s">
        <v>24</v>
      </c>
      <c r="G5440" t="s">
        <v>24</v>
      </c>
      <c r="H5440">
        <f>9175*(1.01^10)</f>
        <v>10134.908000647803</v>
      </c>
      <c r="I5440">
        <f>34261*(1.01^10)</f>
        <v>37845.458638713288</v>
      </c>
      <c r="J5440" t="s">
        <v>16715</v>
      </c>
      <c r="K5440">
        <f t="shared" si="84"/>
        <v>239.10697672222881</v>
      </c>
    </row>
    <row r="5441" spans="1:11" x14ac:dyDescent="0.2">
      <c r="A5441" t="s">
        <v>56</v>
      </c>
      <c r="B5441" t="s">
        <v>5469</v>
      </c>
      <c r="C5441" t="s">
        <v>16716</v>
      </c>
      <c r="D5441" t="s">
        <v>16717</v>
      </c>
      <c r="E5441" t="s">
        <v>220</v>
      </c>
      <c r="F5441" t="s">
        <v>12</v>
      </c>
      <c r="G5441" t="s">
        <v>24</v>
      </c>
      <c r="H5441">
        <f>12005*(1.01^10)</f>
        <v>13260.988615561513</v>
      </c>
      <c r="I5441">
        <f>45068*(1.01^10)</f>
        <v>49783.109948032179</v>
      </c>
      <c r="J5441" t="s">
        <v>16718</v>
      </c>
      <c r="K5441">
        <f t="shared" si="84"/>
        <v>234.13574495900534</v>
      </c>
    </row>
    <row r="5442" spans="1:11" x14ac:dyDescent="0.2">
      <c r="A5442" t="s">
        <v>56</v>
      </c>
      <c r="B5442" t="s">
        <v>5469</v>
      </c>
      <c r="C5442" t="s">
        <v>16719</v>
      </c>
      <c r="D5442" t="s">
        <v>16720</v>
      </c>
      <c r="E5442" t="s">
        <v>142</v>
      </c>
      <c r="F5442" t="s">
        <v>12</v>
      </c>
      <c r="G5442" t="s">
        <v>24</v>
      </c>
      <c r="H5442">
        <f>10875*(1.01^10)</f>
        <v>12012.765613846852</v>
      </c>
      <c r="I5442">
        <f>42111*(1.01^10)</f>
        <v>46516.74232319124</v>
      </c>
      <c r="J5442" t="s">
        <v>16721</v>
      </c>
      <c r="K5442">
        <f t="shared" si="84"/>
        <v>94.261656110523475</v>
      </c>
    </row>
    <row r="5443" spans="1:11" x14ac:dyDescent="0.2">
      <c r="A5443" t="s">
        <v>56</v>
      </c>
      <c r="B5443" t="s">
        <v>5469</v>
      </c>
      <c r="C5443" t="s">
        <v>16722</v>
      </c>
      <c r="D5443" t="s">
        <v>16723</v>
      </c>
      <c r="E5443" t="s">
        <v>17</v>
      </c>
      <c r="F5443" t="s">
        <v>24</v>
      </c>
      <c r="G5443" t="s">
        <v>92</v>
      </c>
      <c r="H5443">
        <f>100000*(1.01^10)</f>
        <v>110462.21254112048</v>
      </c>
      <c r="I5443">
        <f>407232*(1.01^10)</f>
        <v>449837.47737545572</v>
      </c>
      <c r="J5443" t="s">
        <v>16724</v>
      </c>
      <c r="K5443">
        <f t="shared" ref="K5443:K5506" si="85">I5443/J5443</f>
        <v>1108.8039036171986</v>
      </c>
    </row>
    <row r="5444" spans="1:11" x14ac:dyDescent="0.2">
      <c r="A5444" t="s">
        <v>56</v>
      </c>
      <c r="B5444" t="s">
        <v>5469</v>
      </c>
      <c r="C5444" t="s">
        <v>16725</v>
      </c>
      <c r="D5444" t="s">
        <v>16726</v>
      </c>
      <c r="E5444" t="s">
        <v>61</v>
      </c>
      <c r="F5444" t="s">
        <v>24</v>
      </c>
      <c r="G5444" t="s">
        <v>24</v>
      </c>
      <c r="H5444">
        <f>14904*(1.01^10)</f>
        <v>16463.288157128594</v>
      </c>
      <c r="I5444">
        <f>57286*(1.01^10)</f>
        <v>63279.383076306272</v>
      </c>
      <c r="J5444" t="s">
        <v>16727</v>
      </c>
      <c r="K5444">
        <f t="shared" si="85"/>
        <v>192.69313611545573</v>
      </c>
    </row>
    <row r="5445" spans="1:11" x14ac:dyDescent="0.2">
      <c r="A5445" t="s">
        <v>56</v>
      </c>
      <c r="B5445" t="s">
        <v>5469</v>
      </c>
      <c r="C5445" t="s">
        <v>16728</v>
      </c>
      <c r="D5445" t="s">
        <v>16729</v>
      </c>
      <c r="E5445" t="s">
        <v>405</v>
      </c>
      <c r="F5445" t="s">
        <v>24</v>
      </c>
      <c r="G5445" t="s">
        <v>24</v>
      </c>
      <c r="H5445">
        <f>7439*(1.01^10)</f>
        <v>8217.2839909339527</v>
      </c>
      <c r="I5445">
        <f>26150*(1.01^10)</f>
        <v>28885.868579503003</v>
      </c>
      <c r="J5445" t="s">
        <v>16730</v>
      </c>
      <c r="K5445">
        <f t="shared" si="85"/>
        <v>165.54266590028556</v>
      </c>
    </row>
    <row r="5446" spans="1:11" x14ac:dyDescent="0.2">
      <c r="A5446" t="s">
        <v>56</v>
      </c>
      <c r="B5446" t="s">
        <v>5469</v>
      </c>
      <c r="C5446" t="s">
        <v>16731</v>
      </c>
      <c r="D5446" t="s">
        <v>16732</v>
      </c>
      <c r="E5446" t="s">
        <v>318</v>
      </c>
      <c r="F5446" t="s">
        <v>24</v>
      </c>
      <c r="G5446" t="s">
        <v>12</v>
      </c>
      <c r="H5446">
        <f>18958*(1.01^10)</f>
        <v>20941.426253545618</v>
      </c>
      <c r="I5446">
        <f>73016*(1.01^10)</f>
        <v>80655.089109024528</v>
      </c>
      <c r="J5446" t="s">
        <v>16733</v>
      </c>
      <c r="K5446">
        <f t="shared" si="85"/>
        <v>269.24399629286296</v>
      </c>
    </row>
    <row r="5447" spans="1:11" x14ac:dyDescent="0.2">
      <c r="A5447" t="s">
        <v>56</v>
      </c>
      <c r="B5447" t="s">
        <v>5469</v>
      </c>
      <c r="C5447" t="s">
        <v>16734</v>
      </c>
      <c r="D5447" t="s">
        <v>16735</v>
      </c>
      <c r="E5447" t="s">
        <v>318</v>
      </c>
      <c r="F5447" t="s">
        <v>24</v>
      </c>
      <c r="G5447" t="s">
        <v>24</v>
      </c>
      <c r="H5447">
        <f>12661*(1.01^10)</f>
        <v>13985.620729831264</v>
      </c>
      <c r="I5447">
        <f>48729*(1.01^10)</f>
        <v>53827.131549162594</v>
      </c>
      <c r="J5447" t="s">
        <v>16736</v>
      </c>
      <c r="K5447">
        <f t="shared" si="85"/>
        <v>306.26944477571544</v>
      </c>
    </row>
    <row r="5448" spans="1:11" x14ac:dyDescent="0.2">
      <c r="A5448" t="s">
        <v>56</v>
      </c>
      <c r="B5448" t="s">
        <v>5469</v>
      </c>
      <c r="C5448" t="s">
        <v>16737</v>
      </c>
      <c r="D5448" t="s">
        <v>16738</v>
      </c>
      <c r="E5448" t="s">
        <v>411</v>
      </c>
      <c r="F5448" t="s">
        <v>24</v>
      </c>
      <c r="G5448" t="s">
        <v>24</v>
      </c>
      <c r="H5448">
        <f>11755*(1.01^10)</f>
        <v>12984.833084208713</v>
      </c>
      <c r="I5448">
        <f>45274*(1.01^10)</f>
        <v>50010.662105866882</v>
      </c>
      <c r="J5448" t="s">
        <v>16739</v>
      </c>
      <c r="K5448">
        <f t="shared" si="85"/>
        <v>239.13385084250208</v>
      </c>
    </row>
    <row r="5449" spans="1:11" x14ac:dyDescent="0.2">
      <c r="A5449" t="s">
        <v>56</v>
      </c>
      <c r="B5449" t="s">
        <v>5469</v>
      </c>
      <c r="C5449" t="s">
        <v>16740</v>
      </c>
      <c r="D5449" t="s">
        <v>16741</v>
      </c>
      <c r="E5449" t="s">
        <v>6</v>
      </c>
      <c r="F5449" t="s">
        <v>12</v>
      </c>
      <c r="G5449" t="s">
        <v>24</v>
      </c>
      <c r="H5449">
        <f>10237*(1.01^10)</f>
        <v>11308.016697834502</v>
      </c>
      <c r="I5449">
        <f>41235*(1.01^10)</f>
        <v>45549.093341331027</v>
      </c>
      <c r="J5449" t="s">
        <v>16742</v>
      </c>
      <c r="K5449">
        <f t="shared" si="85"/>
        <v>256.79500019246581</v>
      </c>
    </row>
    <row r="5450" spans="1:11" x14ac:dyDescent="0.2">
      <c r="A5450" t="s">
        <v>56</v>
      </c>
      <c r="B5450" t="s">
        <v>5469</v>
      </c>
      <c r="C5450" t="s">
        <v>16743</v>
      </c>
      <c r="D5450" t="s">
        <v>16744</v>
      </c>
      <c r="E5450" t="s">
        <v>356</v>
      </c>
      <c r="F5450" t="s">
        <v>24</v>
      </c>
      <c r="G5450" t="s">
        <v>24</v>
      </c>
      <c r="H5450">
        <f>12788*(1.01^10)</f>
        <v>14125.907739758486</v>
      </c>
      <c r="I5450">
        <f>53079*(1.01^10)</f>
        <v>58632.237794701337</v>
      </c>
      <c r="J5450" t="s">
        <v>16745</v>
      </c>
      <c r="K5450">
        <f t="shared" si="85"/>
        <v>203.68640491741255</v>
      </c>
    </row>
    <row r="5451" spans="1:11" x14ac:dyDescent="0.2">
      <c r="A5451" t="s">
        <v>56</v>
      </c>
      <c r="B5451" t="s">
        <v>5469</v>
      </c>
      <c r="C5451" t="s">
        <v>16746</v>
      </c>
      <c r="D5451" t="s">
        <v>16747</v>
      </c>
      <c r="E5451" t="s">
        <v>744</v>
      </c>
      <c r="F5451" t="s">
        <v>24</v>
      </c>
      <c r="G5451" t="s">
        <v>24</v>
      </c>
      <c r="H5451">
        <f>14568*(1.01^10)</f>
        <v>16092.13512299043</v>
      </c>
      <c r="I5451">
        <f>59465*(1.01^10)</f>
        <v>65686.354687577288</v>
      </c>
      <c r="J5451" t="s">
        <v>16748</v>
      </c>
      <c r="K5451">
        <f t="shared" si="85"/>
        <v>238.11904347646393</v>
      </c>
    </row>
    <row r="5452" spans="1:11" x14ac:dyDescent="0.2">
      <c r="A5452" t="s">
        <v>56</v>
      </c>
      <c r="B5452" t="s">
        <v>5469</v>
      </c>
      <c r="C5452" t="s">
        <v>16749</v>
      </c>
      <c r="D5452" t="s">
        <v>16750</v>
      </c>
      <c r="E5452" t="s">
        <v>458</v>
      </c>
      <c r="F5452" t="s">
        <v>12</v>
      </c>
      <c r="G5452" t="s">
        <v>12</v>
      </c>
      <c r="H5452">
        <f>57057*(1.01^10)</f>
        <v>63026.424609587106</v>
      </c>
      <c r="I5452">
        <f>233182*(1.01^10)</f>
        <v>257577.99644763555</v>
      </c>
      <c r="J5452" t="s">
        <v>16751</v>
      </c>
      <c r="K5452">
        <f t="shared" si="85"/>
        <v>741.5529964031515</v>
      </c>
    </row>
    <row r="5453" spans="1:11" x14ac:dyDescent="0.2">
      <c r="A5453" t="s">
        <v>56</v>
      </c>
      <c r="B5453" t="s">
        <v>5469</v>
      </c>
      <c r="C5453" t="s">
        <v>16752</v>
      </c>
      <c r="D5453" t="s">
        <v>16753</v>
      </c>
      <c r="E5453" t="s">
        <v>405</v>
      </c>
      <c r="F5453" t="s">
        <v>24</v>
      </c>
      <c r="G5453" t="s">
        <v>24</v>
      </c>
      <c r="H5453">
        <f>8369*(1.01^10)</f>
        <v>9244.5825675663727</v>
      </c>
      <c r="I5453">
        <f>32890*(1.01^10)</f>
        <v>36331.021704774525</v>
      </c>
      <c r="J5453" t="s">
        <v>16754</v>
      </c>
      <c r="K5453">
        <f t="shared" si="85"/>
        <v>155.99432114612625</v>
      </c>
    </row>
    <row r="5454" spans="1:11" x14ac:dyDescent="0.2">
      <c r="A5454" t="s">
        <v>56</v>
      </c>
      <c r="B5454" t="s">
        <v>5469</v>
      </c>
      <c r="C5454" t="s">
        <v>16755</v>
      </c>
      <c r="D5454" t="s">
        <v>16756</v>
      </c>
      <c r="E5454" t="s">
        <v>458</v>
      </c>
      <c r="F5454" t="s">
        <v>24</v>
      </c>
      <c r="G5454" t="s">
        <v>24</v>
      </c>
      <c r="H5454">
        <f>8992*(1.01^10)</f>
        <v>9932.7621516975523</v>
      </c>
      <c r="I5454">
        <f>34394*(1.01^10)</f>
        <v>37992.373381392979</v>
      </c>
      <c r="J5454" t="s">
        <v>16757</v>
      </c>
      <c r="K5454">
        <f t="shared" si="85"/>
        <v>185.05333208441186</v>
      </c>
    </row>
    <row r="5455" spans="1:11" x14ac:dyDescent="0.2">
      <c r="A5455" t="s">
        <v>56</v>
      </c>
      <c r="B5455" t="s">
        <v>5469</v>
      </c>
      <c r="C5455" t="s">
        <v>16758</v>
      </c>
      <c r="D5455" t="s">
        <v>16759</v>
      </c>
      <c r="E5455" t="s">
        <v>274</v>
      </c>
      <c r="F5455" t="s">
        <v>24</v>
      </c>
      <c r="G5455" t="s">
        <v>24</v>
      </c>
      <c r="H5455">
        <f>9791*(1.01^10)</f>
        <v>10815.355229901106</v>
      </c>
      <c r="I5455">
        <f>37108*(1.01^10)</f>
        <v>40990.317829758984</v>
      </c>
      <c r="J5455" t="s">
        <v>16760</v>
      </c>
      <c r="K5455">
        <f t="shared" si="85"/>
        <v>173.34756323279149</v>
      </c>
    </row>
    <row r="5456" spans="1:11" x14ac:dyDescent="0.2">
      <c r="A5456" t="s">
        <v>56</v>
      </c>
      <c r="B5456" t="s">
        <v>5469</v>
      </c>
      <c r="C5456" t="s">
        <v>16761</v>
      </c>
      <c r="D5456" t="s">
        <v>16762</v>
      </c>
      <c r="E5456" t="s">
        <v>274</v>
      </c>
      <c r="F5456" t="s">
        <v>24</v>
      </c>
      <c r="G5456" t="s">
        <v>24</v>
      </c>
      <c r="H5456">
        <f>15000*(1.01^10)</f>
        <v>16569.331881168073</v>
      </c>
      <c r="I5456">
        <f>56667*(1.01^10)</f>
        <v>62595.62198067674</v>
      </c>
      <c r="J5456" t="s">
        <v>16763</v>
      </c>
      <c r="K5456">
        <f t="shared" si="85"/>
        <v>370.23380279484485</v>
      </c>
    </row>
    <row r="5457" spans="1:11" x14ac:dyDescent="0.2">
      <c r="A5457" t="s">
        <v>56</v>
      </c>
      <c r="B5457" t="s">
        <v>5469</v>
      </c>
      <c r="C5457" t="s">
        <v>16764</v>
      </c>
      <c r="D5457" t="s">
        <v>16765</v>
      </c>
      <c r="E5457" t="s">
        <v>1656</v>
      </c>
      <c r="F5457" t="s">
        <v>17</v>
      </c>
      <c r="G5457" t="s">
        <v>24</v>
      </c>
      <c r="H5457">
        <f>11676*(1.01^10)</f>
        <v>12897.567936301226</v>
      </c>
      <c r="I5457">
        <f>46853*(1.01^10)</f>
        <v>51754.860441891178</v>
      </c>
      <c r="J5457" t="s">
        <v>16766</v>
      </c>
      <c r="K5457">
        <f t="shared" si="85"/>
        <v>164.64430996275559</v>
      </c>
    </row>
    <row r="5458" spans="1:11" x14ac:dyDescent="0.2">
      <c r="A5458" t="s">
        <v>56</v>
      </c>
      <c r="B5458" t="s">
        <v>5469</v>
      </c>
      <c r="C5458" t="s">
        <v>16767</v>
      </c>
      <c r="D5458" t="s">
        <v>14104</v>
      </c>
      <c r="E5458" t="s">
        <v>411</v>
      </c>
      <c r="F5458" t="s">
        <v>24</v>
      </c>
      <c r="G5458" t="s">
        <v>24</v>
      </c>
      <c r="H5458">
        <f>8345*(1.01^10)</f>
        <v>9218.071636556504</v>
      </c>
      <c r="I5458">
        <f>31373*(1.01^10)</f>
        <v>34655.309940525724</v>
      </c>
      <c r="J5458" t="s">
        <v>16768</v>
      </c>
      <c r="K5458">
        <f t="shared" si="85"/>
        <v>210.75923327063032</v>
      </c>
    </row>
    <row r="5459" spans="1:11" x14ac:dyDescent="0.2">
      <c r="A5459" t="s">
        <v>56</v>
      </c>
      <c r="B5459" t="s">
        <v>5469</v>
      </c>
      <c r="C5459" t="s">
        <v>16769</v>
      </c>
      <c r="D5459" t="s">
        <v>16770</v>
      </c>
      <c r="E5459" t="s">
        <v>356</v>
      </c>
      <c r="F5459" t="s">
        <v>11</v>
      </c>
      <c r="G5459" t="s">
        <v>24</v>
      </c>
      <c r="H5459">
        <f>8588*(1.01^10)</f>
        <v>9486.494813031426</v>
      </c>
      <c r="I5459">
        <f>32407*(1.01^10)</f>
        <v>35797.489218200913</v>
      </c>
      <c r="J5459" t="s">
        <v>16771</v>
      </c>
      <c r="K5459">
        <f t="shared" si="85"/>
        <v>364.89270264362312</v>
      </c>
    </row>
    <row r="5460" spans="1:11" x14ac:dyDescent="0.2">
      <c r="A5460" t="s">
        <v>56</v>
      </c>
      <c r="B5460" t="s">
        <v>5469</v>
      </c>
      <c r="C5460" t="s">
        <v>16772</v>
      </c>
      <c r="D5460" t="s">
        <v>16773</v>
      </c>
      <c r="E5460" t="s">
        <v>274</v>
      </c>
      <c r="F5460" t="s">
        <v>24</v>
      </c>
      <c r="G5460" t="s">
        <v>12</v>
      </c>
      <c r="H5460">
        <f>9366*(1.01^10)</f>
        <v>10345.890826601344</v>
      </c>
      <c r="I5460">
        <f>37041*(1.01^10)</f>
        <v>40916.308147356438</v>
      </c>
      <c r="J5460" t="s">
        <v>16774</v>
      </c>
      <c r="K5460">
        <f t="shared" si="85"/>
        <v>177.9000766715636</v>
      </c>
    </row>
    <row r="5461" spans="1:11" x14ac:dyDescent="0.2">
      <c r="A5461" t="s">
        <v>56</v>
      </c>
      <c r="B5461" t="s">
        <v>5469</v>
      </c>
      <c r="C5461" t="s">
        <v>16775</v>
      </c>
      <c r="D5461" t="s">
        <v>16776</v>
      </c>
      <c r="E5461" t="s">
        <v>411</v>
      </c>
      <c r="F5461" t="s">
        <v>24</v>
      </c>
      <c r="G5461" t="s">
        <v>24</v>
      </c>
      <c r="H5461">
        <f>8739*(1.01^10)</f>
        <v>9653.2927539685188</v>
      </c>
      <c r="I5461">
        <f>31524*(1.01^10)</f>
        <v>34822.10788146282</v>
      </c>
      <c r="J5461" t="s">
        <v>16777</v>
      </c>
      <c r="K5461">
        <f t="shared" si="85"/>
        <v>277.54375294553984</v>
      </c>
    </row>
    <row r="5462" spans="1:11" x14ac:dyDescent="0.2">
      <c r="A5462" t="s">
        <v>56</v>
      </c>
      <c r="B5462" t="s">
        <v>5469</v>
      </c>
      <c r="C5462" t="s">
        <v>16778</v>
      </c>
      <c r="D5462" t="s">
        <v>16779</v>
      </c>
      <c r="E5462" t="s">
        <v>1656</v>
      </c>
      <c r="F5462" t="s">
        <v>12</v>
      </c>
      <c r="G5462" t="s">
        <v>24</v>
      </c>
      <c r="H5462">
        <f>13561*(1.01^10)</f>
        <v>14979.780642701347</v>
      </c>
      <c r="I5462">
        <f>52979*(1.01^10)</f>
        <v>58521.775582160219</v>
      </c>
      <c r="J5462" t="s">
        <v>16780</v>
      </c>
      <c r="K5462">
        <f t="shared" si="85"/>
        <v>236.87036787750179</v>
      </c>
    </row>
    <row r="5463" spans="1:11" x14ac:dyDescent="0.2">
      <c r="A5463" t="s">
        <v>56</v>
      </c>
      <c r="B5463" t="s">
        <v>5469</v>
      </c>
      <c r="C5463" t="s">
        <v>16781</v>
      </c>
      <c r="D5463" t="s">
        <v>16782</v>
      </c>
      <c r="E5463" t="s">
        <v>382</v>
      </c>
      <c r="F5463" t="s">
        <v>24</v>
      </c>
      <c r="G5463" t="s">
        <v>24</v>
      </c>
      <c r="H5463">
        <f>8728*(1.01^10)</f>
        <v>9641.1419105889945</v>
      </c>
      <c r="I5463">
        <f>34026*(1.01^10)</f>
        <v>37585.872439241655</v>
      </c>
      <c r="J5463" t="s">
        <v>16783</v>
      </c>
      <c r="K5463">
        <f t="shared" si="85"/>
        <v>128.81830306333637</v>
      </c>
    </row>
    <row r="5464" spans="1:11" x14ac:dyDescent="0.2">
      <c r="A5464" t="s">
        <v>56</v>
      </c>
      <c r="B5464" t="s">
        <v>5469</v>
      </c>
      <c r="C5464" t="s">
        <v>16784</v>
      </c>
      <c r="D5464" t="s">
        <v>16785</v>
      </c>
      <c r="E5464" t="s">
        <v>274</v>
      </c>
      <c r="F5464" t="s">
        <v>24</v>
      </c>
      <c r="G5464" t="s">
        <v>24</v>
      </c>
      <c r="H5464">
        <f>7369*(1.01^10)</f>
        <v>8139.9604421551676</v>
      </c>
      <c r="I5464">
        <f>28993*(1.01^10)</f>
        <v>32026.309282047059</v>
      </c>
      <c r="J5464" t="s">
        <v>16786</v>
      </c>
      <c r="K5464">
        <f t="shared" si="85"/>
        <v>423.70811518208603</v>
      </c>
    </row>
    <row r="5465" spans="1:11" x14ac:dyDescent="0.2">
      <c r="A5465" t="s">
        <v>56</v>
      </c>
      <c r="B5465" t="s">
        <v>5469</v>
      </c>
      <c r="C5465" t="s">
        <v>16787</v>
      </c>
      <c r="D5465" t="s">
        <v>16788</v>
      </c>
      <c r="E5465" t="s">
        <v>411</v>
      </c>
      <c r="F5465" t="s">
        <v>12</v>
      </c>
      <c r="G5465" t="s">
        <v>24</v>
      </c>
      <c r="H5465">
        <f>7957*(1.01^10)</f>
        <v>8789.4782518969569</v>
      </c>
      <c r="I5465">
        <f>30048*(1.01^10)</f>
        <v>33191.68562435588</v>
      </c>
      <c r="J5465" t="s">
        <v>16789</v>
      </c>
      <c r="K5465">
        <f t="shared" si="85"/>
        <v>328.60522773675393</v>
      </c>
    </row>
    <row r="5466" spans="1:11" x14ac:dyDescent="0.2">
      <c r="A5466" t="s">
        <v>56</v>
      </c>
      <c r="B5466" t="s">
        <v>5469</v>
      </c>
      <c r="C5466" t="s">
        <v>16790</v>
      </c>
      <c r="D5466" t="s">
        <v>16791</v>
      </c>
      <c r="E5466" t="s">
        <v>356</v>
      </c>
      <c r="F5466" t="s">
        <v>12</v>
      </c>
      <c r="G5466" t="s">
        <v>12</v>
      </c>
      <c r="H5466">
        <f>22949*(1.01^10)</f>
        <v>25349.973156061737</v>
      </c>
      <c r="I5466">
        <f>96152*(1.01^10)</f>
        <v>106211.62660253816</v>
      </c>
      <c r="J5466" t="s">
        <v>16792</v>
      </c>
      <c r="K5466">
        <f t="shared" si="85"/>
        <v>1033.6493262156193</v>
      </c>
    </row>
    <row r="5467" spans="1:11" x14ac:dyDescent="0.2">
      <c r="A5467" t="s">
        <v>56</v>
      </c>
      <c r="B5467" t="s">
        <v>5469</v>
      </c>
      <c r="C5467" t="s">
        <v>16793</v>
      </c>
      <c r="D5467" t="s">
        <v>16794</v>
      </c>
      <c r="E5467" t="s">
        <v>382</v>
      </c>
      <c r="F5467" t="s">
        <v>24</v>
      </c>
      <c r="G5467" t="s">
        <v>12</v>
      </c>
      <c r="H5467">
        <f>19750*(1.01^10)</f>
        <v>21816.286976871295</v>
      </c>
      <c r="I5467">
        <f>79166*(1.01^10)</f>
        <v>87448.515180303439</v>
      </c>
      <c r="J5467" t="s">
        <v>16795</v>
      </c>
      <c r="K5467">
        <f t="shared" si="85"/>
        <v>628.90244513487517</v>
      </c>
    </row>
    <row r="5468" spans="1:11" x14ac:dyDescent="0.2">
      <c r="A5468" t="s">
        <v>56</v>
      </c>
      <c r="B5468" t="s">
        <v>5469</v>
      </c>
      <c r="C5468" t="s">
        <v>16796</v>
      </c>
      <c r="D5468" t="s">
        <v>16797</v>
      </c>
      <c r="E5468" t="s">
        <v>77</v>
      </c>
      <c r="F5468" t="s">
        <v>12</v>
      </c>
      <c r="G5468" t="s">
        <v>24</v>
      </c>
      <c r="H5468">
        <f>12198*(1.01^10)</f>
        <v>13474.180685765876</v>
      </c>
      <c r="I5468">
        <f>47764*(1.01^10)</f>
        <v>52761.171198140786</v>
      </c>
      <c r="J5468" t="s">
        <v>16798</v>
      </c>
      <c r="K5468">
        <f t="shared" si="85"/>
        <v>338.84306435300454</v>
      </c>
    </row>
    <row r="5469" spans="1:11" x14ac:dyDescent="0.2">
      <c r="A5469" t="s">
        <v>56</v>
      </c>
      <c r="B5469" t="s">
        <v>5469</v>
      </c>
      <c r="C5469" t="s">
        <v>16799</v>
      </c>
      <c r="D5469" t="s">
        <v>16800</v>
      </c>
      <c r="E5469" t="s">
        <v>411</v>
      </c>
      <c r="F5469" t="s">
        <v>24</v>
      </c>
      <c r="G5469" t="s">
        <v>24</v>
      </c>
      <c r="H5469">
        <f>10683*(1.01^10)</f>
        <v>11800.6781657679</v>
      </c>
      <c r="I5469">
        <f>41539*(1.01^10)</f>
        <v>45884.898467456034</v>
      </c>
      <c r="J5469" t="s">
        <v>16801</v>
      </c>
      <c r="K5469">
        <f t="shared" si="85"/>
        <v>297.72999781216896</v>
      </c>
    </row>
    <row r="5470" spans="1:11" x14ac:dyDescent="0.2">
      <c r="A5470" t="s">
        <v>56</v>
      </c>
      <c r="B5470" t="s">
        <v>5469</v>
      </c>
      <c r="C5470" t="s">
        <v>16802</v>
      </c>
      <c r="D5470" t="s">
        <v>16803</v>
      </c>
      <c r="E5470" t="s">
        <v>422</v>
      </c>
      <c r="F5470" t="s">
        <v>12</v>
      </c>
      <c r="G5470" t="s">
        <v>24</v>
      </c>
      <c r="H5470">
        <f>12530*(1.01^10)</f>
        <v>13840.915231402396</v>
      </c>
      <c r="I5470">
        <f>46412*(1.01^10)</f>
        <v>51267.722084584835</v>
      </c>
      <c r="J5470" t="s">
        <v>16804</v>
      </c>
      <c r="K5470">
        <f t="shared" si="85"/>
        <v>303.25097783306876</v>
      </c>
    </row>
    <row r="5471" spans="1:11" x14ac:dyDescent="0.2">
      <c r="A5471" t="s">
        <v>56</v>
      </c>
      <c r="B5471" t="s">
        <v>5469</v>
      </c>
      <c r="C5471" t="s">
        <v>16805</v>
      </c>
      <c r="D5471" t="s">
        <v>16806</v>
      </c>
      <c r="E5471" t="s">
        <v>445</v>
      </c>
      <c r="F5471" t="s">
        <v>24</v>
      </c>
      <c r="G5471" t="s">
        <v>24</v>
      </c>
      <c r="H5471">
        <f>13435*(1.01^10)</f>
        <v>14840.598254899536</v>
      </c>
      <c r="I5471">
        <f>50631*(1.01^10)</f>
        <v>55928.122831694709</v>
      </c>
      <c r="J5471" t="s">
        <v>16807</v>
      </c>
      <c r="K5471">
        <f t="shared" si="85"/>
        <v>236.45844758562581</v>
      </c>
    </row>
    <row r="5472" spans="1:11" x14ac:dyDescent="0.2">
      <c r="A5472" t="s">
        <v>56</v>
      </c>
      <c r="B5472" t="s">
        <v>5469</v>
      </c>
      <c r="C5472" t="s">
        <v>16808</v>
      </c>
      <c r="D5472" t="s">
        <v>16809</v>
      </c>
      <c r="E5472" t="s">
        <v>458</v>
      </c>
      <c r="F5472" t="s">
        <v>24</v>
      </c>
      <c r="G5472" t="s">
        <v>24</v>
      </c>
      <c r="H5472">
        <f>11274*(1.01^10)</f>
        <v>12453.509841885922</v>
      </c>
      <c r="I5472">
        <f>43528*(1.01^10)</f>
        <v>48081.991874898922</v>
      </c>
      <c r="J5472" t="s">
        <v>16810</v>
      </c>
      <c r="K5472">
        <f t="shared" si="85"/>
        <v>101.95580864310422</v>
      </c>
    </row>
    <row r="5473" spans="1:11" x14ac:dyDescent="0.2">
      <c r="A5473" t="s">
        <v>56</v>
      </c>
      <c r="B5473" t="s">
        <v>5469</v>
      </c>
      <c r="C5473" t="s">
        <v>16811</v>
      </c>
      <c r="D5473" t="s">
        <v>16812</v>
      </c>
      <c r="E5473" t="s">
        <v>274</v>
      </c>
      <c r="F5473" t="s">
        <v>24</v>
      </c>
      <c r="G5473" t="s">
        <v>24</v>
      </c>
      <c r="H5473">
        <f>10525*(1.01^10)</f>
        <v>11626.147869952931</v>
      </c>
      <c r="I5473">
        <f>42103*(1.01^10)</f>
        <v>46507.905346187952</v>
      </c>
      <c r="J5473" t="s">
        <v>16813</v>
      </c>
      <c r="K5473">
        <f t="shared" si="85"/>
        <v>213.80126480249527</v>
      </c>
    </row>
    <row r="5474" spans="1:11" x14ac:dyDescent="0.2">
      <c r="A5474" t="s">
        <v>56</v>
      </c>
      <c r="B5474" t="s">
        <v>5469</v>
      </c>
      <c r="C5474" t="s">
        <v>16814</v>
      </c>
      <c r="D5474" t="s">
        <v>16815</v>
      </c>
      <c r="E5474" t="s">
        <v>274</v>
      </c>
      <c r="F5474" t="s">
        <v>24</v>
      </c>
      <c r="G5474" t="s">
        <v>24</v>
      </c>
      <c r="H5474">
        <f>11339*(1.01^10)</f>
        <v>12525.310280037651</v>
      </c>
      <c r="I5474">
        <f>49202*(1.01^10)</f>
        <v>54349.617814482095</v>
      </c>
      <c r="J5474" t="s">
        <v>16816</v>
      </c>
      <c r="K5474">
        <f t="shared" si="85"/>
        <v>243.51971415761125</v>
      </c>
    </row>
    <row r="5475" spans="1:11" x14ac:dyDescent="0.2">
      <c r="A5475" t="s">
        <v>56</v>
      </c>
      <c r="B5475" t="s">
        <v>5469</v>
      </c>
      <c r="C5475" t="s">
        <v>16817</v>
      </c>
      <c r="D5475" t="s">
        <v>16818</v>
      </c>
      <c r="E5475" t="s">
        <v>445</v>
      </c>
      <c r="F5475" t="s">
        <v>24</v>
      </c>
      <c r="G5475" t="s">
        <v>12</v>
      </c>
      <c r="H5475">
        <f>25941*(1.01^10)</f>
        <v>28655.002555292063</v>
      </c>
      <c r="I5475">
        <f>109702*(1.01^10)</f>
        <v>121179.25640185998</v>
      </c>
      <c r="J5475" t="s">
        <v>16819</v>
      </c>
      <c r="K5475">
        <f t="shared" si="85"/>
        <v>472.18280135229168</v>
      </c>
    </row>
    <row r="5476" spans="1:11" x14ac:dyDescent="0.2">
      <c r="A5476" t="s">
        <v>56</v>
      </c>
      <c r="B5476" t="s">
        <v>5469</v>
      </c>
      <c r="C5476" t="s">
        <v>16820</v>
      </c>
      <c r="D5476" t="s">
        <v>16821</v>
      </c>
      <c r="E5476" t="s">
        <v>796</v>
      </c>
      <c r="F5476" t="s">
        <v>24</v>
      </c>
      <c r="G5476" t="s">
        <v>24</v>
      </c>
      <c r="H5476">
        <f>13596*(1.01^10)</f>
        <v>15018.44241709074</v>
      </c>
      <c r="I5476">
        <f>58423*(1.01^10)</f>
        <v>64535.338432898818</v>
      </c>
      <c r="J5476" t="s">
        <v>16822</v>
      </c>
      <c r="K5476">
        <f t="shared" si="85"/>
        <v>300.80259643189709</v>
      </c>
    </row>
    <row r="5477" spans="1:11" x14ac:dyDescent="0.2">
      <c r="A5477" t="s">
        <v>56</v>
      </c>
      <c r="B5477" t="s">
        <v>5469</v>
      </c>
      <c r="C5477" t="s">
        <v>16823</v>
      </c>
      <c r="D5477" t="s">
        <v>15282</v>
      </c>
      <c r="E5477" t="s">
        <v>44</v>
      </c>
      <c r="F5477" t="s">
        <v>24</v>
      </c>
      <c r="G5477" t="s">
        <v>24</v>
      </c>
      <c r="H5477">
        <f>13223*(1.01^10)</f>
        <v>14606.41836431236</v>
      </c>
      <c r="I5477">
        <f>56183*(1.01^10)</f>
        <v>62060.984871977715</v>
      </c>
      <c r="J5477" t="s">
        <v>16754</v>
      </c>
      <c r="K5477">
        <f t="shared" si="85"/>
        <v>266.47093174073615</v>
      </c>
    </row>
    <row r="5478" spans="1:11" x14ac:dyDescent="0.2">
      <c r="A5478" t="s">
        <v>56</v>
      </c>
      <c r="B5478" t="s">
        <v>5469</v>
      </c>
      <c r="C5478" t="s">
        <v>16824</v>
      </c>
      <c r="D5478" t="s">
        <v>16825</v>
      </c>
      <c r="E5478" t="s">
        <v>726</v>
      </c>
      <c r="F5478" t="s">
        <v>24</v>
      </c>
      <c r="G5478" t="s">
        <v>24</v>
      </c>
      <c r="H5478">
        <f>13751*(1.01^10)</f>
        <v>15189.658846529477</v>
      </c>
      <c r="I5478">
        <f>53708*(1.01^10)</f>
        <v>59327.045111584986</v>
      </c>
      <c r="J5478" t="s">
        <v>16826</v>
      </c>
      <c r="K5478">
        <f t="shared" si="85"/>
        <v>383.48584624647884</v>
      </c>
    </row>
    <row r="5479" spans="1:11" x14ac:dyDescent="0.2">
      <c r="A5479" t="s">
        <v>56</v>
      </c>
      <c r="B5479" t="s">
        <v>5469</v>
      </c>
      <c r="C5479" t="s">
        <v>16827</v>
      </c>
      <c r="D5479" t="s">
        <v>16828</v>
      </c>
      <c r="E5479" t="s">
        <v>47</v>
      </c>
      <c r="F5479" t="s">
        <v>12</v>
      </c>
      <c r="G5479" t="s">
        <v>24</v>
      </c>
      <c r="H5479">
        <f>9700*(1.01^10)</f>
        <v>10714.834616488686</v>
      </c>
      <c r="I5479">
        <f>38926*(1.01^10)</f>
        <v>42998.520853756556</v>
      </c>
      <c r="J5479" t="s">
        <v>16829</v>
      </c>
      <c r="K5479">
        <f t="shared" si="85"/>
        <v>367.77012779023778</v>
      </c>
    </row>
    <row r="5480" spans="1:11" x14ac:dyDescent="0.2">
      <c r="A5480" t="s">
        <v>56</v>
      </c>
      <c r="B5480" t="s">
        <v>5469</v>
      </c>
      <c r="C5480" t="s">
        <v>16830</v>
      </c>
      <c r="D5480" t="s">
        <v>16831</v>
      </c>
      <c r="E5480" t="s">
        <v>520</v>
      </c>
      <c r="F5480" t="s">
        <v>12</v>
      </c>
      <c r="G5480" t="s">
        <v>24</v>
      </c>
      <c r="H5480">
        <f>16718*(1.01^10)</f>
        <v>18467.072692624522</v>
      </c>
      <c r="I5480">
        <f>69543*(1.01^10)</f>
        <v>76818.736467471404</v>
      </c>
      <c r="J5480" t="s">
        <v>16832</v>
      </c>
      <c r="K5480">
        <f t="shared" si="85"/>
        <v>382.60733955659049</v>
      </c>
    </row>
    <row r="5481" spans="1:11" x14ac:dyDescent="0.2">
      <c r="A5481" t="s">
        <v>56</v>
      </c>
      <c r="B5481" t="s">
        <v>5469</v>
      </c>
      <c r="C5481" t="s">
        <v>16833</v>
      </c>
      <c r="D5481" t="s">
        <v>16834</v>
      </c>
      <c r="E5481" t="s">
        <v>374</v>
      </c>
      <c r="F5481" t="s">
        <v>12</v>
      </c>
      <c r="G5481" t="s">
        <v>11</v>
      </c>
      <c r="H5481">
        <f>54441*(1.01^10)</f>
        <v>60136.733129511398</v>
      </c>
      <c r="I5481">
        <f>212816*(1.01^10)</f>
        <v>235081.26224151094</v>
      </c>
      <c r="J5481" t="s">
        <v>16835</v>
      </c>
      <c r="K5481">
        <f t="shared" si="85"/>
        <v>1327.5360472489194</v>
      </c>
    </row>
    <row r="5482" spans="1:11" x14ac:dyDescent="0.2">
      <c r="A5482" t="s">
        <v>56</v>
      </c>
      <c r="B5482" t="s">
        <v>5469</v>
      </c>
      <c r="C5482" t="s">
        <v>16836</v>
      </c>
      <c r="D5482" t="s">
        <v>16837</v>
      </c>
      <c r="E5482" t="s">
        <v>318</v>
      </c>
      <c r="F5482" t="s">
        <v>12</v>
      </c>
      <c r="G5482" t="s">
        <v>12</v>
      </c>
      <c r="H5482">
        <f>19513*(1.01^10)</f>
        <v>21554.491533148837</v>
      </c>
      <c r="I5482">
        <f>81470*(1.01^10)</f>
        <v>89993.564557250851</v>
      </c>
      <c r="J5482" t="s">
        <v>16838</v>
      </c>
      <c r="K5482">
        <f t="shared" si="85"/>
        <v>380.40204847142775</v>
      </c>
    </row>
    <row r="5483" spans="1:11" x14ac:dyDescent="0.2">
      <c r="A5483" t="s">
        <v>56</v>
      </c>
      <c r="B5483" t="s">
        <v>5469</v>
      </c>
      <c r="C5483" t="s">
        <v>16839</v>
      </c>
      <c r="D5483" t="s">
        <v>16840</v>
      </c>
      <c r="E5483" t="s">
        <v>77</v>
      </c>
      <c r="F5483" t="s">
        <v>24</v>
      </c>
      <c r="G5483" t="s">
        <v>24</v>
      </c>
      <c r="H5483">
        <f>12347*(1.01^10)</f>
        <v>13638.769382452145</v>
      </c>
      <c r="I5483">
        <f>56538*(1.01^10)</f>
        <v>62453.125726498693</v>
      </c>
      <c r="J5483" t="s">
        <v>16841</v>
      </c>
      <c r="K5483">
        <f t="shared" si="85"/>
        <v>232.50814578690245</v>
      </c>
    </row>
    <row r="5484" spans="1:11" x14ac:dyDescent="0.2">
      <c r="A5484" t="s">
        <v>56</v>
      </c>
      <c r="B5484" t="s">
        <v>5469</v>
      </c>
      <c r="C5484" t="s">
        <v>16842</v>
      </c>
      <c r="D5484" t="s">
        <v>16843</v>
      </c>
      <c r="E5484" t="s">
        <v>103</v>
      </c>
      <c r="F5484" t="s">
        <v>17</v>
      </c>
      <c r="G5484" t="s">
        <v>24</v>
      </c>
      <c r="H5484">
        <f>19261*(1.01^10)</f>
        <v>21276.126757545215</v>
      </c>
      <c r="I5484">
        <f>88321*(1.01^10)</f>
        <v>97561.330738443008</v>
      </c>
      <c r="J5484" t="s">
        <v>16844</v>
      </c>
      <c r="K5484">
        <f t="shared" si="85"/>
        <v>338.23285079952257</v>
      </c>
    </row>
    <row r="5485" spans="1:11" x14ac:dyDescent="0.2">
      <c r="A5485" t="s">
        <v>56</v>
      </c>
      <c r="B5485" t="s">
        <v>5469</v>
      </c>
      <c r="C5485" t="s">
        <v>16845</v>
      </c>
      <c r="D5485" t="s">
        <v>16846</v>
      </c>
      <c r="E5485" t="s">
        <v>51</v>
      </c>
      <c r="F5485" t="s">
        <v>24</v>
      </c>
      <c r="G5485" t="s">
        <v>24</v>
      </c>
      <c r="H5485">
        <f>13304*(1.01^10)</f>
        <v>14695.892756470668</v>
      </c>
      <c r="I5485">
        <f>61789*(1.01^10)</f>
        <v>68253.496507032934</v>
      </c>
      <c r="J5485" t="s">
        <v>16847</v>
      </c>
      <c r="K5485">
        <f t="shared" si="85"/>
        <v>367.50610738959512</v>
      </c>
    </row>
    <row r="5486" spans="1:11" x14ac:dyDescent="0.2">
      <c r="A5486" t="s">
        <v>56</v>
      </c>
      <c r="B5486" t="s">
        <v>5469</v>
      </c>
      <c r="C5486" t="s">
        <v>16848</v>
      </c>
      <c r="D5486" t="s">
        <v>16849</v>
      </c>
      <c r="E5486" t="s">
        <v>764</v>
      </c>
      <c r="F5486" t="s">
        <v>12</v>
      </c>
      <c r="G5486" t="s">
        <v>24</v>
      </c>
      <c r="H5486">
        <f>10013*(1.01^10)</f>
        <v>11060.581341742392</v>
      </c>
      <c r="I5486">
        <f>45004*(1.01^10)</f>
        <v>49712.414132005855</v>
      </c>
      <c r="J5486" t="s">
        <v>16850</v>
      </c>
      <c r="K5486">
        <f t="shared" si="85"/>
        <v>331.16066247997094</v>
      </c>
    </row>
    <row r="5487" spans="1:11" x14ac:dyDescent="0.2">
      <c r="A5487" t="s">
        <v>56</v>
      </c>
      <c r="B5487" t="s">
        <v>5469</v>
      </c>
      <c r="C5487" t="s">
        <v>16851</v>
      </c>
      <c r="D5487" t="s">
        <v>16852</v>
      </c>
      <c r="E5487" t="s">
        <v>425</v>
      </c>
      <c r="F5487" t="s">
        <v>12</v>
      </c>
      <c r="G5487" t="s">
        <v>12</v>
      </c>
      <c r="H5487">
        <f>27048*(1.01^10)</f>
        <v>29877.819248122265</v>
      </c>
      <c r="I5487">
        <f>120479*(1.01^10)</f>
        <v>133083.76904741654</v>
      </c>
      <c r="J5487" t="s">
        <v>16853</v>
      </c>
      <c r="K5487">
        <f t="shared" si="85"/>
        <v>366.87377333509176</v>
      </c>
    </row>
    <row r="5488" spans="1:11" x14ac:dyDescent="0.2">
      <c r="A5488" t="s">
        <v>56</v>
      </c>
      <c r="B5488" t="s">
        <v>5469</v>
      </c>
      <c r="C5488" t="s">
        <v>16854</v>
      </c>
      <c r="D5488" t="s">
        <v>16855</v>
      </c>
      <c r="E5488" t="s">
        <v>47</v>
      </c>
      <c r="F5488" t="s">
        <v>12</v>
      </c>
      <c r="G5488" t="s">
        <v>24</v>
      </c>
      <c r="H5488">
        <f>12677*(1.01^10)</f>
        <v>14003.294683837843</v>
      </c>
      <c r="I5488">
        <f>57851*(1.01^10)</f>
        <v>63903.494577163605</v>
      </c>
      <c r="J5488" t="s">
        <v>16856</v>
      </c>
      <c r="K5488">
        <f t="shared" si="85"/>
        <v>194.1973810941422</v>
      </c>
    </row>
    <row r="5489" spans="1:11" x14ac:dyDescent="0.2">
      <c r="A5489" t="s">
        <v>56</v>
      </c>
      <c r="B5489" t="s">
        <v>5469</v>
      </c>
      <c r="C5489" t="s">
        <v>16857</v>
      </c>
      <c r="D5489" t="s">
        <v>16858</v>
      </c>
      <c r="E5489" t="s">
        <v>313</v>
      </c>
      <c r="F5489" t="s">
        <v>24</v>
      </c>
      <c r="G5489" t="s">
        <v>24</v>
      </c>
      <c r="H5489">
        <f>18645*(1.01^10)</f>
        <v>20595.679528291912</v>
      </c>
      <c r="I5489">
        <f>73199*(1.01^10)</f>
        <v>80857.234957974782</v>
      </c>
      <c r="J5489" t="s">
        <v>16859</v>
      </c>
      <c r="K5489">
        <f t="shared" si="85"/>
        <v>233.54126406342289</v>
      </c>
    </row>
    <row r="5490" spans="1:11" x14ac:dyDescent="0.2">
      <c r="A5490" t="s">
        <v>56</v>
      </c>
      <c r="B5490" t="s">
        <v>5469</v>
      </c>
      <c r="C5490" t="s">
        <v>16860</v>
      </c>
      <c r="D5490" t="s">
        <v>16861</v>
      </c>
      <c r="E5490" t="s">
        <v>726</v>
      </c>
      <c r="F5490" t="s">
        <v>24</v>
      </c>
      <c r="G5490" t="s">
        <v>24</v>
      </c>
      <c r="H5490">
        <f>12807*(1.01^10)</f>
        <v>14146.8955601413</v>
      </c>
      <c r="I5490">
        <f>50176*(1.01^10)</f>
        <v>55425.519764632612</v>
      </c>
      <c r="J5490" t="s">
        <v>16862</v>
      </c>
      <c r="K5490">
        <f t="shared" si="85"/>
        <v>314.05783685936552</v>
      </c>
    </row>
    <row r="5491" spans="1:11" x14ac:dyDescent="0.2">
      <c r="A5491" t="s">
        <v>56</v>
      </c>
      <c r="B5491" t="s">
        <v>5469</v>
      </c>
      <c r="C5491" t="s">
        <v>16863</v>
      </c>
      <c r="D5491" t="s">
        <v>16864</v>
      </c>
      <c r="E5491" t="s">
        <v>1656</v>
      </c>
      <c r="F5491" t="s">
        <v>17</v>
      </c>
      <c r="G5491" t="s">
        <v>24</v>
      </c>
      <c r="H5491">
        <f>11047*(1.01^10)</f>
        <v>12202.760619417579</v>
      </c>
      <c r="I5491">
        <f>43306*(1.01^10)</f>
        <v>47836.765763057636</v>
      </c>
      <c r="J5491" t="s">
        <v>16865</v>
      </c>
      <c r="K5491">
        <f t="shared" si="85"/>
        <v>251.87337053726972</v>
      </c>
    </row>
    <row r="5492" spans="1:11" x14ac:dyDescent="0.2">
      <c r="A5492" t="s">
        <v>56</v>
      </c>
      <c r="B5492" t="s">
        <v>5469</v>
      </c>
      <c r="C5492" t="s">
        <v>16866</v>
      </c>
      <c r="D5492" t="s">
        <v>16867</v>
      </c>
      <c r="E5492" t="s">
        <v>356</v>
      </c>
      <c r="F5492" t="s">
        <v>24</v>
      </c>
      <c r="G5492" t="s">
        <v>24</v>
      </c>
      <c r="H5492">
        <f>5514*(1.01^10)</f>
        <v>6090.8863995173833</v>
      </c>
      <c r="I5492">
        <f>23657*(1.01^10)</f>
        <v>26132.04562085287</v>
      </c>
      <c r="J5492" t="s">
        <v>16868</v>
      </c>
      <c r="K5492">
        <f t="shared" si="85"/>
        <v>121.30343122961186</v>
      </c>
    </row>
    <row r="5493" spans="1:11" x14ac:dyDescent="0.2">
      <c r="A5493" t="s">
        <v>220</v>
      </c>
      <c r="B5493" t="s">
        <v>6353</v>
      </c>
      <c r="C5493" t="s">
        <v>16869</v>
      </c>
      <c r="D5493" t="s">
        <v>16870</v>
      </c>
      <c r="E5493" t="s">
        <v>390</v>
      </c>
      <c r="F5493" t="s">
        <v>24</v>
      </c>
      <c r="G5493" t="s">
        <v>11</v>
      </c>
      <c r="H5493">
        <f>132923*(1.01^10)</f>
        <v>146829.68677603357</v>
      </c>
      <c r="I5493">
        <f>628800*(1.01^10)</f>
        <v>694586.39245856553</v>
      </c>
      <c r="J5493" t="s">
        <v>6292</v>
      </c>
      <c r="K5493">
        <f t="shared" si="85"/>
        <v>549.94963773441452</v>
      </c>
    </row>
    <row r="5494" spans="1:11" x14ac:dyDescent="0.2">
      <c r="A5494" t="s">
        <v>220</v>
      </c>
      <c r="B5494" t="s">
        <v>6353</v>
      </c>
      <c r="C5494" t="s">
        <v>16871</v>
      </c>
      <c r="D5494" t="s">
        <v>16872</v>
      </c>
      <c r="E5494" t="s">
        <v>626</v>
      </c>
      <c r="F5494" t="s">
        <v>24</v>
      </c>
      <c r="G5494" t="s">
        <v>12</v>
      </c>
      <c r="H5494">
        <f>107689*(1.01^10)</f>
        <v>118955.65206340722</v>
      </c>
      <c r="I5494">
        <f>525832*(1.01^10)</f>
        <v>580845.66144922457</v>
      </c>
      <c r="J5494" t="s">
        <v>16873</v>
      </c>
      <c r="K5494">
        <f t="shared" si="85"/>
        <v>291.73564110960552</v>
      </c>
    </row>
    <row r="5495" spans="1:11" x14ac:dyDescent="0.2">
      <c r="A5495" t="s">
        <v>220</v>
      </c>
      <c r="B5495" t="s">
        <v>6353</v>
      </c>
      <c r="C5495" t="s">
        <v>16874</v>
      </c>
      <c r="D5495" t="s">
        <v>16875</v>
      </c>
      <c r="E5495" t="s">
        <v>612</v>
      </c>
      <c r="F5495" t="s">
        <v>24</v>
      </c>
      <c r="G5495" t="s">
        <v>17</v>
      </c>
      <c r="H5495">
        <f>75921*(1.01^10)</f>
        <v>83864.016383344075</v>
      </c>
      <c r="I5495">
        <f>405489*(1.01^10)</f>
        <v>447912.12101086398</v>
      </c>
      <c r="J5495" t="s">
        <v>3921</v>
      </c>
      <c r="K5495">
        <f t="shared" si="85"/>
        <v>470.49592543157979</v>
      </c>
    </row>
    <row r="5496" spans="1:11" x14ac:dyDescent="0.2">
      <c r="A5496" t="s">
        <v>220</v>
      </c>
      <c r="B5496" t="s">
        <v>6353</v>
      </c>
      <c r="C5496" t="s">
        <v>16876</v>
      </c>
      <c r="D5496" t="s">
        <v>16877</v>
      </c>
      <c r="E5496" t="s">
        <v>386</v>
      </c>
      <c r="F5496" t="s">
        <v>24</v>
      </c>
      <c r="G5496" t="s">
        <v>5</v>
      </c>
      <c r="H5496">
        <f>116569*(1.01^10)</f>
        <v>128764.69653705873</v>
      </c>
      <c r="I5496">
        <f>612163*(1.01^10)</f>
        <v>676208.79415809934</v>
      </c>
      <c r="J5496" t="s">
        <v>4254</v>
      </c>
      <c r="K5496">
        <f t="shared" si="85"/>
        <v>438.24289964880063</v>
      </c>
    </row>
    <row r="5497" spans="1:11" x14ac:dyDescent="0.2">
      <c r="A5497" t="s">
        <v>220</v>
      </c>
      <c r="B5497" t="s">
        <v>6353</v>
      </c>
      <c r="C5497" t="s">
        <v>16878</v>
      </c>
      <c r="D5497" t="s">
        <v>16879</v>
      </c>
      <c r="E5497" t="s">
        <v>404</v>
      </c>
      <c r="F5497" t="s">
        <v>24</v>
      </c>
      <c r="G5497" t="s">
        <v>17</v>
      </c>
      <c r="H5497">
        <f>85209*(1.01^10)</f>
        <v>94123.746684163343</v>
      </c>
      <c r="I5497">
        <f>399270*(1.01^10)</f>
        <v>441042.47601293173</v>
      </c>
      <c r="J5497" t="s">
        <v>16880</v>
      </c>
      <c r="K5497">
        <f t="shared" si="85"/>
        <v>446.85154611239284</v>
      </c>
    </row>
    <row r="5498" spans="1:11" x14ac:dyDescent="0.2">
      <c r="A5498" t="s">
        <v>220</v>
      </c>
      <c r="B5498" t="s">
        <v>6353</v>
      </c>
      <c r="C5498" t="s">
        <v>16881</v>
      </c>
      <c r="D5498" t="s">
        <v>16882</v>
      </c>
      <c r="E5498" t="s">
        <v>2283</v>
      </c>
      <c r="F5498" t="s">
        <v>5</v>
      </c>
      <c r="G5498" t="s">
        <v>458</v>
      </c>
      <c r="H5498">
        <f>209944*(1.01^10)</f>
        <v>231908.78749732996</v>
      </c>
      <c r="I5498">
        <f>957373*(1.01^10)</f>
        <v>1057535.3980713014</v>
      </c>
      <c r="J5498" t="s">
        <v>4684</v>
      </c>
      <c r="K5498">
        <f t="shared" si="85"/>
        <v>1024.7436027822689</v>
      </c>
    </row>
    <row r="5499" spans="1:11" x14ac:dyDescent="0.2">
      <c r="A5499" t="s">
        <v>220</v>
      </c>
      <c r="B5499" t="s">
        <v>6353</v>
      </c>
      <c r="C5499" t="s">
        <v>16883</v>
      </c>
      <c r="D5499" t="s">
        <v>13663</v>
      </c>
      <c r="E5499" t="s">
        <v>725</v>
      </c>
      <c r="F5499" t="s">
        <v>12</v>
      </c>
      <c r="G5499" t="s">
        <v>11</v>
      </c>
      <c r="H5499">
        <f>56153*(1.01^10)</f>
        <v>62027.846208215378</v>
      </c>
      <c r="I5499">
        <f>258089*(1.01^10)</f>
        <v>285090.8197252524</v>
      </c>
      <c r="J5499" t="s">
        <v>16884</v>
      </c>
      <c r="K5499">
        <f t="shared" si="85"/>
        <v>163.65718698349735</v>
      </c>
    </row>
    <row r="5500" spans="1:11" x14ac:dyDescent="0.2">
      <c r="A5500" t="s">
        <v>220</v>
      </c>
      <c r="B5500" t="s">
        <v>6353</v>
      </c>
      <c r="C5500" t="s">
        <v>16885</v>
      </c>
      <c r="D5500" t="s">
        <v>16886</v>
      </c>
      <c r="E5500" t="s">
        <v>390</v>
      </c>
      <c r="F5500" t="s">
        <v>24</v>
      </c>
      <c r="G5500" t="s">
        <v>12</v>
      </c>
      <c r="H5500">
        <f>80060*(1.01^10)</f>
        <v>88436.047360421057</v>
      </c>
      <c r="I5500">
        <f>381189*(1.01^10)</f>
        <v>421069.8033633717</v>
      </c>
      <c r="J5500" t="s">
        <v>2936</v>
      </c>
      <c r="K5500">
        <f t="shared" si="85"/>
        <v>375.955181574439</v>
      </c>
    </row>
    <row r="5501" spans="1:11" x14ac:dyDescent="0.2">
      <c r="A5501" t="s">
        <v>220</v>
      </c>
      <c r="B5501" t="s">
        <v>6353</v>
      </c>
      <c r="C5501" t="s">
        <v>16887</v>
      </c>
      <c r="D5501" t="s">
        <v>16888</v>
      </c>
      <c r="E5501" t="s">
        <v>1010</v>
      </c>
      <c r="F5501" t="s">
        <v>6</v>
      </c>
      <c r="G5501" t="s">
        <v>12</v>
      </c>
      <c r="H5501">
        <f>70063*(1.01^10)</f>
        <v>77393.13997268524</v>
      </c>
      <c r="I5501">
        <f>352929*(1.01^10)</f>
        <v>389853.18209925108</v>
      </c>
      <c r="J5501" t="s">
        <v>16889</v>
      </c>
      <c r="K5501">
        <f t="shared" si="85"/>
        <v>247.05524847861284</v>
      </c>
    </row>
    <row r="5502" spans="1:11" x14ac:dyDescent="0.2">
      <c r="A5502" t="s">
        <v>220</v>
      </c>
      <c r="B5502" t="s">
        <v>6353</v>
      </c>
      <c r="C5502" t="s">
        <v>16890</v>
      </c>
      <c r="D5502" t="s">
        <v>16891</v>
      </c>
      <c r="E5502" t="s">
        <v>1960</v>
      </c>
      <c r="F5502" t="s">
        <v>24</v>
      </c>
      <c r="G5502" t="s">
        <v>12</v>
      </c>
      <c r="H5502">
        <f>49323*(1.01^10)</f>
        <v>54483.277091656855</v>
      </c>
      <c r="I5502">
        <f>258527*(1.01^10)</f>
        <v>285574.64421618253</v>
      </c>
      <c r="J5502" t="s">
        <v>3502</v>
      </c>
      <c r="K5502">
        <f t="shared" si="85"/>
        <v>233.12215854382248</v>
      </c>
    </row>
    <row r="5503" spans="1:11" x14ac:dyDescent="0.2">
      <c r="A5503" t="s">
        <v>220</v>
      </c>
      <c r="B5503" t="s">
        <v>16892</v>
      </c>
      <c r="C5503" t="s">
        <v>16893</v>
      </c>
      <c r="D5503" t="s">
        <v>16894</v>
      </c>
      <c r="E5503" t="s">
        <v>1362</v>
      </c>
      <c r="F5503" t="s">
        <v>24</v>
      </c>
      <c r="G5503" t="s">
        <v>11</v>
      </c>
      <c r="H5503">
        <f>90067*(1.01^10)</f>
        <v>99490.000969410976</v>
      </c>
      <c r="I5503">
        <f>470176*(1.01^10)</f>
        <v>519366.81243733858</v>
      </c>
      <c r="J5503" t="s">
        <v>16895</v>
      </c>
      <c r="K5503">
        <f t="shared" si="85"/>
        <v>448.11631789244052</v>
      </c>
    </row>
    <row r="5504" spans="1:11" x14ac:dyDescent="0.2">
      <c r="A5504" t="s">
        <v>220</v>
      </c>
      <c r="B5504" t="s">
        <v>16892</v>
      </c>
      <c r="C5504" t="s">
        <v>16896</v>
      </c>
      <c r="D5504" t="s">
        <v>16897</v>
      </c>
      <c r="E5504" t="s">
        <v>1545</v>
      </c>
      <c r="F5504" t="s">
        <v>152</v>
      </c>
      <c r="G5504" t="s">
        <v>12</v>
      </c>
      <c r="H5504">
        <f>30864*(1.01^10)</f>
        <v>34093.05727869142</v>
      </c>
      <c r="I5504">
        <f>160294*(1.01^10)</f>
        <v>177064.29897066366</v>
      </c>
      <c r="J5504" t="s">
        <v>1717</v>
      </c>
      <c r="K5504">
        <f t="shared" si="85"/>
        <v>226.71485143490867</v>
      </c>
    </row>
    <row r="5505" spans="1:11" x14ac:dyDescent="0.2">
      <c r="A5505" t="s">
        <v>220</v>
      </c>
      <c r="B5505" t="s">
        <v>16892</v>
      </c>
      <c r="C5505" t="s">
        <v>16898</v>
      </c>
      <c r="D5505" t="s">
        <v>16899</v>
      </c>
      <c r="E5505" t="s">
        <v>394</v>
      </c>
      <c r="F5505" t="s">
        <v>24</v>
      </c>
      <c r="G5505" t="s">
        <v>12</v>
      </c>
      <c r="H5505">
        <f>55234*(1.01^10)</f>
        <v>61012.698474962483</v>
      </c>
      <c r="I5505">
        <f>285915*(1.01^10)</f>
        <v>315828.03498694458</v>
      </c>
      <c r="J5505" t="s">
        <v>16900</v>
      </c>
      <c r="K5505">
        <f t="shared" si="85"/>
        <v>338.0696363632851</v>
      </c>
    </row>
    <row r="5506" spans="1:11" x14ac:dyDescent="0.2">
      <c r="A5506" t="s">
        <v>220</v>
      </c>
      <c r="B5506" t="s">
        <v>16892</v>
      </c>
      <c r="C5506" t="s">
        <v>16901</v>
      </c>
      <c r="D5506" t="s">
        <v>16902</v>
      </c>
      <c r="E5506" t="s">
        <v>328</v>
      </c>
      <c r="F5506" t="s">
        <v>24</v>
      </c>
      <c r="G5506" t="s">
        <v>11</v>
      </c>
      <c r="H5506">
        <f>61605*(1.01^10)</f>
        <v>68050.246035957272</v>
      </c>
      <c r="I5506">
        <f>330860*(1.01^10)</f>
        <v>365475.27641355118</v>
      </c>
      <c r="J5506" t="s">
        <v>16903</v>
      </c>
      <c r="K5506">
        <f t="shared" si="85"/>
        <v>264.07173151268148</v>
      </c>
    </row>
    <row r="5507" spans="1:11" x14ac:dyDescent="0.2">
      <c r="A5507" t="s">
        <v>220</v>
      </c>
      <c r="B5507" t="s">
        <v>16892</v>
      </c>
      <c r="C5507" t="s">
        <v>16904</v>
      </c>
      <c r="D5507" t="s">
        <v>16905</v>
      </c>
      <c r="E5507" t="s">
        <v>172</v>
      </c>
      <c r="F5507" t="s">
        <v>17</v>
      </c>
      <c r="G5507" t="s">
        <v>12</v>
      </c>
      <c r="H5507">
        <f>55836*(1.01^10)</f>
        <v>61677.680994460032</v>
      </c>
      <c r="I5507">
        <f>285114*(1.01^10)</f>
        <v>314943.23266449024</v>
      </c>
      <c r="J5507" t="s">
        <v>3354</v>
      </c>
      <c r="K5507">
        <f t="shared" ref="K5507:K5570" si="86">I5507/J5507</f>
        <v>340.47917044809753</v>
      </c>
    </row>
    <row r="5508" spans="1:11" x14ac:dyDescent="0.2">
      <c r="A5508" t="s">
        <v>220</v>
      </c>
      <c r="B5508" t="s">
        <v>16892</v>
      </c>
      <c r="C5508" t="s">
        <v>16906</v>
      </c>
      <c r="D5508" t="s">
        <v>16907</v>
      </c>
      <c r="E5508" t="s">
        <v>833</v>
      </c>
      <c r="F5508" t="s">
        <v>12</v>
      </c>
      <c r="G5508" t="s">
        <v>92</v>
      </c>
      <c r="H5508">
        <f>60331*(1.01^10)</f>
        <v>66642.957448183399</v>
      </c>
      <c r="I5508">
        <f>321338*(1.01^10)</f>
        <v>354957.0645353857</v>
      </c>
      <c r="J5508" t="s">
        <v>4290</v>
      </c>
      <c r="K5508">
        <f t="shared" si="86"/>
        <v>261.18989296202039</v>
      </c>
    </row>
    <row r="5509" spans="1:11" x14ac:dyDescent="0.2">
      <c r="A5509" t="s">
        <v>220</v>
      </c>
      <c r="B5509" t="s">
        <v>16892</v>
      </c>
      <c r="C5509" t="s">
        <v>6484</v>
      </c>
      <c r="D5509" t="s">
        <v>6485</v>
      </c>
      <c r="E5509" t="s">
        <v>24</v>
      </c>
      <c r="F5509" t="s">
        <v>24</v>
      </c>
      <c r="G5509" t="s">
        <v>12</v>
      </c>
      <c r="H5509">
        <f>7212*(1.01^10)</f>
        <v>7966.534768465609</v>
      </c>
      <c r="I5509">
        <f>36055*(1.01^10)</f>
        <v>39827.150731700989</v>
      </c>
      <c r="J5509" t="s">
        <v>16908</v>
      </c>
      <c r="K5509">
        <f t="shared" si="86"/>
        <v>4063.9949726225495</v>
      </c>
    </row>
    <row r="5510" spans="1:11" x14ac:dyDescent="0.2">
      <c r="A5510" t="s">
        <v>220</v>
      </c>
      <c r="B5510" t="s">
        <v>1355</v>
      </c>
      <c r="C5510" t="s">
        <v>16909</v>
      </c>
      <c r="D5510" t="s">
        <v>10803</v>
      </c>
      <c r="E5510" t="s">
        <v>1576</v>
      </c>
      <c r="F5510" t="s">
        <v>12</v>
      </c>
      <c r="G5510" t="s">
        <v>12</v>
      </c>
      <c r="H5510">
        <f>138156*(1.01^10)</f>
        <v>152610.17435831041</v>
      </c>
      <c r="I5510">
        <f>721075*(1.01^10)</f>
        <v>796515.39908088441</v>
      </c>
      <c r="J5510" t="s">
        <v>16910</v>
      </c>
      <c r="K5510">
        <f t="shared" si="86"/>
        <v>300.79886672238837</v>
      </c>
    </row>
    <row r="5511" spans="1:11" x14ac:dyDescent="0.2">
      <c r="A5511" t="s">
        <v>220</v>
      </c>
      <c r="B5511" t="s">
        <v>1355</v>
      </c>
      <c r="C5511" t="s">
        <v>16911</v>
      </c>
      <c r="D5511" t="s">
        <v>16912</v>
      </c>
      <c r="E5511" t="s">
        <v>761</v>
      </c>
      <c r="F5511" t="s">
        <v>5</v>
      </c>
      <c r="G5511" t="s">
        <v>12</v>
      </c>
      <c r="H5511">
        <f>78925*(1.01^10)</f>
        <v>87182.30124807934</v>
      </c>
      <c r="I5511">
        <f>421169*(1.01^10)</f>
        <v>465232.59593731171</v>
      </c>
      <c r="J5511" t="s">
        <v>16913</v>
      </c>
      <c r="K5511">
        <f t="shared" si="86"/>
        <v>210.03728936221748</v>
      </c>
    </row>
    <row r="5512" spans="1:11" x14ac:dyDescent="0.2">
      <c r="A5512" t="s">
        <v>220</v>
      </c>
      <c r="B5512" t="s">
        <v>1355</v>
      </c>
      <c r="C5512" t="s">
        <v>16914</v>
      </c>
      <c r="D5512" t="s">
        <v>16915</v>
      </c>
      <c r="E5512" t="s">
        <v>328</v>
      </c>
      <c r="F5512" t="s">
        <v>12</v>
      </c>
      <c r="G5512" t="s">
        <v>12</v>
      </c>
      <c r="H5512">
        <f>71251*(1.01^10)</f>
        <v>78705.431057673748</v>
      </c>
      <c r="I5512">
        <f>395675*(1.01^10)</f>
        <v>437071.35947207845</v>
      </c>
      <c r="J5512" t="s">
        <v>16916</v>
      </c>
      <c r="K5512">
        <f t="shared" si="86"/>
        <v>201.60118056830186</v>
      </c>
    </row>
    <row r="5513" spans="1:11" x14ac:dyDescent="0.2">
      <c r="A5513" t="s">
        <v>220</v>
      </c>
      <c r="B5513" t="s">
        <v>1355</v>
      </c>
      <c r="C5513" t="s">
        <v>16917</v>
      </c>
      <c r="D5513" t="s">
        <v>16918</v>
      </c>
      <c r="E5513" t="s">
        <v>404</v>
      </c>
      <c r="F5513" t="s">
        <v>17</v>
      </c>
      <c r="G5513" t="s">
        <v>12</v>
      </c>
      <c r="H5513">
        <f>66930*(1.01^10)</f>
        <v>73932.358853771933</v>
      </c>
      <c r="I5513">
        <f>348721*(1.01^10)</f>
        <v>385204.93219552073</v>
      </c>
      <c r="J5513" t="s">
        <v>16919</v>
      </c>
      <c r="K5513">
        <f t="shared" si="86"/>
        <v>195.23818154866737</v>
      </c>
    </row>
    <row r="5514" spans="1:11" x14ac:dyDescent="0.2">
      <c r="A5514" t="s">
        <v>220</v>
      </c>
      <c r="B5514" t="s">
        <v>1355</v>
      </c>
      <c r="C5514" t="s">
        <v>16920</v>
      </c>
      <c r="D5514" t="s">
        <v>16921</v>
      </c>
      <c r="E5514" t="s">
        <v>1446</v>
      </c>
      <c r="F5514" t="s">
        <v>92</v>
      </c>
      <c r="G5514" t="s">
        <v>17</v>
      </c>
      <c r="H5514">
        <f>53544*(1.01^10)</f>
        <v>59145.887083017544</v>
      </c>
      <c r="I5514">
        <f>290691*(1.01^10)</f>
        <v>321103.7102579085</v>
      </c>
      <c r="J5514" t="s">
        <v>16922</v>
      </c>
      <c r="K5514">
        <f t="shared" si="86"/>
        <v>214.92885559431627</v>
      </c>
    </row>
    <row r="5515" spans="1:11" x14ac:dyDescent="0.2">
      <c r="A5515" t="s">
        <v>220</v>
      </c>
      <c r="B5515" t="s">
        <v>16923</v>
      </c>
      <c r="C5515" t="s">
        <v>16924</v>
      </c>
      <c r="D5515" t="s">
        <v>16925</v>
      </c>
      <c r="E5515" t="s">
        <v>436</v>
      </c>
      <c r="F5515" t="s">
        <v>11</v>
      </c>
      <c r="G5515" t="s">
        <v>12</v>
      </c>
      <c r="H5515">
        <f>64055*(1.01^10)</f>
        <v>70756.570243214723</v>
      </c>
      <c r="I5515">
        <f>345247*(1.01^10)</f>
        <v>381367.47493184218</v>
      </c>
      <c r="J5515" t="s">
        <v>5456</v>
      </c>
      <c r="K5515">
        <f t="shared" si="86"/>
        <v>316.22510359190892</v>
      </c>
    </row>
    <row r="5516" spans="1:11" x14ac:dyDescent="0.2">
      <c r="A5516" t="s">
        <v>220</v>
      </c>
      <c r="B5516" t="s">
        <v>16923</v>
      </c>
      <c r="C5516" t="s">
        <v>16926</v>
      </c>
      <c r="D5516" t="s">
        <v>16927</v>
      </c>
      <c r="E5516" t="s">
        <v>1576</v>
      </c>
      <c r="F5516" t="s">
        <v>11</v>
      </c>
      <c r="G5516" t="s">
        <v>12</v>
      </c>
      <c r="H5516">
        <f>54100*(1.01^10)</f>
        <v>59760.056984746174</v>
      </c>
      <c r="I5516">
        <f>277350*(1.01^10)</f>
        <v>306366.94648279762</v>
      </c>
      <c r="J5516" t="s">
        <v>4273</v>
      </c>
      <c r="K5516">
        <f t="shared" si="86"/>
        <v>273.7863686173348</v>
      </c>
    </row>
    <row r="5517" spans="1:11" x14ac:dyDescent="0.2">
      <c r="A5517" t="s">
        <v>220</v>
      </c>
      <c r="B5517" t="s">
        <v>16923</v>
      </c>
      <c r="C5517" t="s">
        <v>16928</v>
      </c>
      <c r="D5517" t="s">
        <v>16929</v>
      </c>
      <c r="E5517" t="s">
        <v>1446</v>
      </c>
      <c r="F5517" t="s">
        <v>11</v>
      </c>
      <c r="G5517" t="s">
        <v>17</v>
      </c>
      <c r="H5517">
        <f>51672*(1.01^10)</f>
        <v>57078.034464247772</v>
      </c>
      <c r="I5517">
        <f>278400*(1.01^10)</f>
        <v>307526.79971447942</v>
      </c>
      <c r="J5517" t="s">
        <v>4821</v>
      </c>
      <c r="K5517">
        <f t="shared" si="86"/>
        <v>249.41346286656886</v>
      </c>
    </row>
    <row r="5518" spans="1:11" x14ac:dyDescent="0.2">
      <c r="A5518" t="s">
        <v>220</v>
      </c>
      <c r="B5518" t="s">
        <v>16923</v>
      </c>
      <c r="C5518" t="s">
        <v>16930</v>
      </c>
      <c r="D5518" t="s">
        <v>16931</v>
      </c>
      <c r="E5518" t="s">
        <v>404</v>
      </c>
      <c r="F5518" t="s">
        <v>108</v>
      </c>
      <c r="G5518" t="s">
        <v>12</v>
      </c>
      <c r="H5518">
        <f>89172*(1.01^10)</f>
        <v>98501.364167167951</v>
      </c>
      <c r="I5518">
        <f>469941*(1.01^10)</f>
        <v>519107.22623786697</v>
      </c>
      <c r="J5518" t="s">
        <v>46</v>
      </c>
      <c r="K5518">
        <f t="shared" si="86"/>
        <v>571.70399365403853</v>
      </c>
    </row>
    <row r="5519" spans="1:11" x14ac:dyDescent="0.2">
      <c r="A5519" t="s">
        <v>220</v>
      </c>
      <c r="B5519" t="s">
        <v>16923</v>
      </c>
      <c r="C5519" t="s">
        <v>16932</v>
      </c>
      <c r="D5519" t="s">
        <v>16933</v>
      </c>
      <c r="E5519" t="s">
        <v>253</v>
      </c>
      <c r="F5519" t="s">
        <v>92</v>
      </c>
      <c r="G5519" t="s">
        <v>17</v>
      </c>
      <c r="H5519">
        <f>60938*(1.01^10)</f>
        <v>67313.463078307992</v>
      </c>
      <c r="I5519">
        <f>332362*(1.01^10)</f>
        <v>367134.41884591884</v>
      </c>
      <c r="J5519" t="s">
        <v>16934</v>
      </c>
      <c r="K5519">
        <f t="shared" si="86"/>
        <v>373.86397031152632</v>
      </c>
    </row>
    <row r="5520" spans="1:11" x14ac:dyDescent="0.2">
      <c r="A5520" t="s">
        <v>220</v>
      </c>
      <c r="B5520" t="s">
        <v>5132</v>
      </c>
      <c r="C5520" t="s">
        <v>16935</v>
      </c>
      <c r="D5520" t="s">
        <v>16936</v>
      </c>
      <c r="E5520" t="s">
        <v>128</v>
      </c>
      <c r="F5520" t="s">
        <v>158</v>
      </c>
      <c r="G5520" t="s">
        <v>5</v>
      </c>
      <c r="H5520">
        <f>68478*(1.01^10)</f>
        <v>75642.313903908478</v>
      </c>
      <c r="I5520">
        <f>385699*(1.01^10)</f>
        <v>426051.64914897626</v>
      </c>
      <c r="J5520" t="s">
        <v>16937</v>
      </c>
      <c r="K5520">
        <f t="shared" si="86"/>
        <v>216.59971995372459</v>
      </c>
    </row>
    <row r="5521" spans="1:11" x14ac:dyDescent="0.2">
      <c r="A5521" t="s">
        <v>220</v>
      </c>
      <c r="B5521" t="s">
        <v>5132</v>
      </c>
      <c r="C5521" t="s">
        <v>16938</v>
      </c>
      <c r="D5521" t="s">
        <v>16939</v>
      </c>
      <c r="E5521" t="s">
        <v>407</v>
      </c>
      <c r="F5521" t="s">
        <v>274</v>
      </c>
      <c r="G5521" t="s">
        <v>12</v>
      </c>
      <c r="H5521">
        <f>48437*(1.01^10)</f>
        <v>53504.581888542525</v>
      </c>
      <c r="I5521">
        <f>280606*(1.01^10)</f>
        <v>309963.59612313652</v>
      </c>
      <c r="J5521" t="s">
        <v>4588</v>
      </c>
      <c r="K5521">
        <f t="shared" si="86"/>
        <v>206.09281657123438</v>
      </c>
    </row>
    <row r="5522" spans="1:11" x14ac:dyDescent="0.2">
      <c r="A5522" t="s">
        <v>220</v>
      </c>
      <c r="B5522" t="s">
        <v>5132</v>
      </c>
      <c r="C5522" t="s">
        <v>16940</v>
      </c>
      <c r="D5522" t="s">
        <v>16941</v>
      </c>
      <c r="E5522" t="s">
        <v>1352</v>
      </c>
      <c r="F5522" t="s">
        <v>274</v>
      </c>
      <c r="G5522" t="s">
        <v>17</v>
      </c>
      <c r="H5522">
        <f>98867*(1.01^10)</f>
        <v>109210.67567302957</v>
      </c>
      <c r="I5522">
        <f>498637*(1.01^10)</f>
        <v>550805.46274866688</v>
      </c>
      <c r="J5522" t="s">
        <v>4342</v>
      </c>
      <c r="K5522">
        <f t="shared" si="86"/>
        <v>356.27778961750766</v>
      </c>
    </row>
    <row r="5523" spans="1:11" x14ac:dyDescent="0.2">
      <c r="A5523" t="s">
        <v>220</v>
      </c>
      <c r="B5523" t="s">
        <v>5132</v>
      </c>
      <c r="C5523" t="s">
        <v>16942</v>
      </c>
      <c r="D5523" t="s">
        <v>16943</v>
      </c>
      <c r="E5523" t="s">
        <v>2873</v>
      </c>
      <c r="F5523" t="s">
        <v>158</v>
      </c>
      <c r="G5523" t="s">
        <v>12</v>
      </c>
      <c r="H5523">
        <f>71599*(1.01^10)</f>
        <v>79089.839557316853</v>
      </c>
      <c r="I5523">
        <f>370670*(1.01^10)</f>
        <v>409450.28322617128</v>
      </c>
      <c r="J5523" t="s">
        <v>16944</v>
      </c>
      <c r="K5523">
        <f t="shared" si="86"/>
        <v>226.34067618914941</v>
      </c>
    </row>
    <row r="5524" spans="1:11" x14ac:dyDescent="0.2">
      <c r="A5524" t="s">
        <v>220</v>
      </c>
      <c r="B5524" t="s">
        <v>5132</v>
      </c>
      <c r="C5524" t="s">
        <v>16945</v>
      </c>
      <c r="D5524" t="s">
        <v>16946</v>
      </c>
      <c r="E5524" t="s">
        <v>1282</v>
      </c>
      <c r="F5524" t="s">
        <v>313</v>
      </c>
      <c r="G5524" t="s">
        <v>12</v>
      </c>
      <c r="H5524">
        <f>76472*(1.01^10)</f>
        <v>84472.663174445654</v>
      </c>
      <c r="I5524">
        <f>393200*(1.01^10)</f>
        <v>434337.41971168568</v>
      </c>
      <c r="J5524" t="s">
        <v>16947</v>
      </c>
      <c r="K5524">
        <f t="shared" si="86"/>
        <v>268.77315576218172</v>
      </c>
    </row>
    <row r="5525" spans="1:11" x14ac:dyDescent="0.2">
      <c r="A5525" t="s">
        <v>220</v>
      </c>
      <c r="B5525" t="s">
        <v>5275</v>
      </c>
      <c r="C5525" t="s">
        <v>16948</v>
      </c>
      <c r="D5525" t="s">
        <v>16949</v>
      </c>
      <c r="E5525" t="s">
        <v>2777</v>
      </c>
      <c r="F5525" t="s">
        <v>158</v>
      </c>
      <c r="G5525" t="s">
        <v>12</v>
      </c>
      <c r="H5525">
        <f>50214*(1.01^10)</f>
        <v>55467.495405398236</v>
      </c>
      <c r="I5525">
        <f>267442*(1.01^10)</f>
        <v>295422.35046422342</v>
      </c>
      <c r="J5525" t="s">
        <v>16950</v>
      </c>
      <c r="K5525">
        <f t="shared" si="86"/>
        <v>197.60692338744042</v>
      </c>
    </row>
    <row r="5526" spans="1:11" x14ac:dyDescent="0.2">
      <c r="A5526" t="s">
        <v>220</v>
      </c>
      <c r="B5526" t="s">
        <v>5275</v>
      </c>
      <c r="C5526" t="s">
        <v>16951</v>
      </c>
      <c r="D5526" t="s">
        <v>16952</v>
      </c>
      <c r="E5526" t="s">
        <v>2873</v>
      </c>
      <c r="F5526" t="s">
        <v>382</v>
      </c>
      <c r="G5526" t="s">
        <v>12</v>
      </c>
      <c r="H5526">
        <f>51347*(1.01^10)</f>
        <v>56719.032273489131</v>
      </c>
      <c r="I5526">
        <f>284792*(1.01^10)</f>
        <v>314587.54434010782</v>
      </c>
      <c r="J5526" t="s">
        <v>16953</v>
      </c>
      <c r="K5526">
        <f t="shared" si="86"/>
        <v>230.63602957485909</v>
      </c>
    </row>
    <row r="5527" spans="1:11" x14ac:dyDescent="0.2">
      <c r="A5527" t="s">
        <v>220</v>
      </c>
      <c r="B5527" t="s">
        <v>5275</v>
      </c>
      <c r="C5527" t="s">
        <v>16954</v>
      </c>
      <c r="D5527" t="s">
        <v>16955</v>
      </c>
      <c r="E5527" t="s">
        <v>1446</v>
      </c>
      <c r="F5527" t="s">
        <v>744</v>
      </c>
      <c r="G5527" t="s">
        <v>12</v>
      </c>
      <c r="H5527">
        <f>89885*(1.01^10)</f>
        <v>99288.959742586143</v>
      </c>
      <c r="I5527">
        <f>459905*(1.01^10)</f>
        <v>508021.23858724011</v>
      </c>
      <c r="J5527" t="s">
        <v>4277</v>
      </c>
      <c r="K5527">
        <f t="shared" si="86"/>
        <v>380.8255161823389</v>
      </c>
    </row>
    <row r="5528" spans="1:11" x14ac:dyDescent="0.2">
      <c r="A5528" t="s">
        <v>220</v>
      </c>
      <c r="B5528" t="s">
        <v>5275</v>
      </c>
      <c r="C5528" t="s">
        <v>16956</v>
      </c>
      <c r="D5528" t="s">
        <v>16957</v>
      </c>
      <c r="E5528" t="s">
        <v>2162</v>
      </c>
      <c r="F5528" t="s">
        <v>6</v>
      </c>
      <c r="G5528" t="s">
        <v>17</v>
      </c>
      <c r="H5528">
        <f>73149*(1.01^10)</f>
        <v>80802.003851704212</v>
      </c>
      <c r="I5528">
        <f>377781*(1.01^10)</f>
        <v>417305.25115997036</v>
      </c>
      <c r="J5528" t="s">
        <v>5821</v>
      </c>
      <c r="K5528">
        <f t="shared" si="86"/>
        <v>303.05392241101697</v>
      </c>
    </row>
    <row r="5529" spans="1:11" x14ac:dyDescent="0.2">
      <c r="A5529" t="s">
        <v>220</v>
      </c>
      <c r="B5529" t="s">
        <v>1732</v>
      </c>
      <c r="C5529" t="s">
        <v>16958</v>
      </c>
      <c r="D5529" t="s">
        <v>16959</v>
      </c>
      <c r="E5529" t="s">
        <v>103</v>
      </c>
      <c r="F5529" t="s">
        <v>11</v>
      </c>
      <c r="G5529" t="s">
        <v>12</v>
      </c>
      <c r="H5529">
        <f>20072*(1.01^10)</f>
        <v>22171.9753012537</v>
      </c>
      <c r="I5529">
        <f>100623*(1.01^10)</f>
        <v>111150.39212525166</v>
      </c>
      <c r="J5529" t="s">
        <v>11207</v>
      </c>
      <c r="K5529">
        <f t="shared" si="86"/>
        <v>254.9320920303937</v>
      </c>
    </row>
    <row r="5530" spans="1:11" x14ac:dyDescent="0.2">
      <c r="A5530" t="s">
        <v>220</v>
      </c>
      <c r="B5530" t="s">
        <v>1732</v>
      </c>
      <c r="C5530" t="s">
        <v>16960</v>
      </c>
      <c r="D5530" t="s">
        <v>16961</v>
      </c>
      <c r="E5530" t="s">
        <v>589</v>
      </c>
      <c r="F5530" t="s">
        <v>24</v>
      </c>
      <c r="G5530" t="s">
        <v>11</v>
      </c>
      <c r="H5530">
        <f>53348*(1.01^10)</f>
        <v>58929.38114643695</v>
      </c>
      <c r="I5530">
        <f>264123*(1.01^10)</f>
        <v>291756.10962998361</v>
      </c>
      <c r="J5530" t="s">
        <v>3780</v>
      </c>
      <c r="K5530">
        <f t="shared" si="86"/>
        <v>225.81742231422879</v>
      </c>
    </row>
    <row r="5531" spans="1:11" x14ac:dyDescent="0.2">
      <c r="A5531" t="s">
        <v>220</v>
      </c>
      <c r="B5531" t="s">
        <v>1732</v>
      </c>
      <c r="C5531" t="s">
        <v>16962</v>
      </c>
      <c r="D5531" t="s">
        <v>16963</v>
      </c>
      <c r="E5531" t="s">
        <v>51</v>
      </c>
      <c r="F5531" t="s">
        <v>5</v>
      </c>
      <c r="G5531" t="s">
        <v>17</v>
      </c>
      <c r="H5531">
        <f>77639*(1.01^10)</f>
        <v>85761.757194800521</v>
      </c>
      <c r="I5531">
        <f>367258*(1.01^10)</f>
        <v>405681.31253426825</v>
      </c>
      <c r="J5531" t="s">
        <v>16964</v>
      </c>
      <c r="K5531">
        <f t="shared" si="86"/>
        <v>371.50303345628959</v>
      </c>
    </row>
    <row r="5532" spans="1:11" x14ac:dyDescent="0.2">
      <c r="A5532" t="s">
        <v>220</v>
      </c>
      <c r="B5532" t="s">
        <v>1732</v>
      </c>
      <c r="C5532" t="s">
        <v>16965</v>
      </c>
      <c r="D5532" t="s">
        <v>16966</v>
      </c>
      <c r="E5532" t="s">
        <v>1101</v>
      </c>
      <c r="F5532" t="s">
        <v>5</v>
      </c>
      <c r="G5532" t="s">
        <v>17</v>
      </c>
      <c r="H5532">
        <f>41413*(1.01^10)</f>
        <v>45745.716079654223</v>
      </c>
      <c r="I5532">
        <f>200669*(1.01^10)</f>
        <v>221663.41728414103</v>
      </c>
      <c r="J5532" t="s">
        <v>3692</v>
      </c>
      <c r="K5532">
        <f t="shared" si="86"/>
        <v>234.31650875702013</v>
      </c>
    </row>
    <row r="5533" spans="1:11" x14ac:dyDescent="0.2">
      <c r="A5533" t="s">
        <v>220</v>
      </c>
      <c r="B5533" t="s">
        <v>1732</v>
      </c>
      <c r="C5533" t="s">
        <v>16967</v>
      </c>
      <c r="D5533" t="s">
        <v>16968</v>
      </c>
      <c r="E5533" t="s">
        <v>1580</v>
      </c>
      <c r="F5533" t="s">
        <v>5</v>
      </c>
      <c r="G5533" t="s">
        <v>12</v>
      </c>
      <c r="H5533">
        <f>26624*(1.01^10)</f>
        <v>29409.459466947916</v>
      </c>
      <c r="I5533">
        <f>131897*(1.01^10)</f>
        <v>145696.34447536166</v>
      </c>
      <c r="J5533" t="s">
        <v>1527</v>
      </c>
      <c r="K5533">
        <f t="shared" si="86"/>
        <v>163.5200274695417</v>
      </c>
    </row>
    <row r="5534" spans="1:11" x14ac:dyDescent="0.2">
      <c r="A5534" t="s">
        <v>220</v>
      </c>
      <c r="B5534" t="s">
        <v>2045</v>
      </c>
      <c r="C5534" t="s">
        <v>16969</v>
      </c>
      <c r="D5534" t="s">
        <v>16970</v>
      </c>
      <c r="E5534" t="s">
        <v>1303</v>
      </c>
      <c r="F5534" t="s">
        <v>152</v>
      </c>
      <c r="G5534" t="s">
        <v>12</v>
      </c>
      <c r="H5534">
        <f>50058*(1.01^10)</f>
        <v>55295.174353834089</v>
      </c>
      <c r="I5534">
        <f>249993*(1.01^10)</f>
        <v>276147.79899792332</v>
      </c>
      <c r="J5534" t="s">
        <v>3660</v>
      </c>
      <c r="K5534">
        <f t="shared" si="86"/>
        <v>272.06679704228901</v>
      </c>
    </row>
    <row r="5535" spans="1:11" x14ac:dyDescent="0.2">
      <c r="A5535" t="s">
        <v>220</v>
      </c>
      <c r="B5535" t="s">
        <v>2045</v>
      </c>
      <c r="C5535" t="s">
        <v>16971</v>
      </c>
      <c r="D5535" t="s">
        <v>16972</v>
      </c>
      <c r="E5535" t="s">
        <v>164</v>
      </c>
      <c r="F5535" t="s">
        <v>12</v>
      </c>
      <c r="G5535" t="s">
        <v>17</v>
      </c>
      <c r="H5535">
        <f>37789*(1.01^10)</f>
        <v>41742.565497164018</v>
      </c>
      <c r="I5535">
        <f>190208*(1.01^10)</f>
        <v>210107.96523021444</v>
      </c>
      <c r="J5535" t="s">
        <v>271</v>
      </c>
      <c r="K5535">
        <f t="shared" si="86"/>
        <v>195.08631869100691</v>
      </c>
    </row>
    <row r="5536" spans="1:11" x14ac:dyDescent="0.2">
      <c r="A5536" t="s">
        <v>220</v>
      </c>
      <c r="B5536" t="s">
        <v>2045</v>
      </c>
      <c r="C5536" t="s">
        <v>16973</v>
      </c>
      <c r="D5536" t="s">
        <v>16974</v>
      </c>
      <c r="E5536" t="s">
        <v>180</v>
      </c>
      <c r="F5536" t="s">
        <v>152</v>
      </c>
      <c r="G5536" t="s">
        <v>24</v>
      </c>
      <c r="H5536">
        <f>29199*(1.01^10)</f>
        <v>32253.861439881766</v>
      </c>
      <c r="I5536">
        <f>142807*(1.01^10)</f>
        <v>157747.77186359791</v>
      </c>
      <c r="J5536" t="s">
        <v>2996</v>
      </c>
      <c r="K5536">
        <f t="shared" si="86"/>
        <v>253.20669641026953</v>
      </c>
    </row>
    <row r="5537" spans="1:11" x14ac:dyDescent="0.2">
      <c r="A5537" t="s">
        <v>220</v>
      </c>
      <c r="B5537" t="s">
        <v>2045</v>
      </c>
      <c r="C5537" t="s">
        <v>16975</v>
      </c>
      <c r="D5537" t="s">
        <v>16976</v>
      </c>
      <c r="E5537" t="s">
        <v>324</v>
      </c>
      <c r="F5537" t="s">
        <v>24</v>
      </c>
      <c r="G5537" t="s">
        <v>12</v>
      </c>
      <c r="H5537">
        <f>31526*(1.01^10)</f>
        <v>34824.317125713642</v>
      </c>
      <c r="I5537">
        <f>154659*(1.01^10)</f>
        <v>170839.7532939715</v>
      </c>
      <c r="J5537" t="s">
        <v>293</v>
      </c>
      <c r="K5537">
        <f t="shared" si="86"/>
        <v>249.76572119001682</v>
      </c>
    </row>
    <row r="5538" spans="1:11" x14ac:dyDescent="0.2">
      <c r="A5538" t="s">
        <v>220</v>
      </c>
      <c r="B5538" t="s">
        <v>2045</v>
      </c>
      <c r="C5538" t="s">
        <v>16977</v>
      </c>
      <c r="D5538" t="s">
        <v>16978</v>
      </c>
      <c r="E5538" t="s">
        <v>164</v>
      </c>
      <c r="F5538" t="s">
        <v>12</v>
      </c>
      <c r="G5538" t="s">
        <v>12</v>
      </c>
      <c r="H5538">
        <f>33710*(1.01^10)</f>
        <v>37236.811847611709</v>
      </c>
      <c r="I5538">
        <f>165568*(1.01^10)</f>
        <v>182890.07606008236</v>
      </c>
      <c r="J5538" t="s">
        <v>7104</v>
      </c>
      <c r="K5538">
        <f t="shared" si="86"/>
        <v>282.23777169765793</v>
      </c>
    </row>
    <row r="5539" spans="1:11" x14ac:dyDescent="0.2">
      <c r="A5539" t="s">
        <v>220</v>
      </c>
      <c r="B5539" t="s">
        <v>2045</v>
      </c>
      <c r="C5539" t="s">
        <v>6484</v>
      </c>
      <c r="D5539" t="s">
        <v>6485</v>
      </c>
      <c r="E5539" t="s">
        <v>24</v>
      </c>
      <c r="F5539" t="s">
        <v>24</v>
      </c>
      <c r="G5539" t="s">
        <v>12</v>
      </c>
      <c r="H5539">
        <f>200418*(1.01^10)</f>
        <v>221386.15713066285</v>
      </c>
      <c r="I5539">
        <f>943788*(1.01^10)</f>
        <v>1042529.1064975901</v>
      </c>
      <c r="J5539" t="s">
        <v>16979</v>
      </c>
      <c r="K5539">
        <f t="shared" si="86"/>
        <v>4884.8707079823362</v>
      </c>
    </row>
    <row r="5540" spans="1:11" x14ac:dyDescent="0.2">
      <c r="A5540" t="s">
        <v>220</v>
      </c>
      <c r="B5540" t="s">
        <v>5342</v>
      </c>
      <c r="C5540" t="s">
        <v>16980</v>
      </c>
      <c r="D5540" t="s">
        <v>16981</v>
      </c>
      <c r="E5540" t="s">
        <v>180</v>
      </c>
      <c r="F5540" t="s">
        <v>12</v>
      </c>
      <c r="G5540" t="s">
        <v>17</v>
      </c>
      <c r="H5540">
        <f>40330*(1.01^10)</f>
        <v>44549.410317833885</v>
      </c>
      <c r="I5540">
        <f>155213*(1.01^10)</f>
        <v>171451.71395144932</v>
      </c>
      <c r="J5540" t="s">
        <v>1767</v>
      </c>
      <c r="K5540">
        <f t="shared" si="86"/>
        <v>230.1365287938917</v>
      </c>
    </row>
    <row r="5541" spans="1:11" x14ac:dyDescent="0.2">
      <c r="A5541" t="s">
        <v>220</v>
      </c>
      <c r="B5541" t="s">
        <v>5342</v>
      </c>
      <c r="C5541" t="s">
        <v>16982</v>
      </c>
      <c r="D5541" t="s">
        <v>16983</v>
      </c>
      <c r="E5541" t="s">
        <v>1215</v>
      </c>
      <c r="F5541" t="s">
        <v>158</v>
      </c>
      <c r="G5541" t="s">
        <v>24</v>
      </c>
      <c r="H5541">
        <f>11648*(1.01^10)</f>
        <v>12866.638516789713</v>
      </c>
      <c r="I5541">
        <f>52012*(1.01^10)</f>
        <v>57453.605986887582</v>
      </c>
      <c r="J5541" t="s">
        <v>16984</v>
      </c>
      <c r="K5541">
        <f t="shared" si="86"/>
        <v>30.531034475790641</v>
      </c>
    </row>
    <row r="5542" spans="1:11" x14ac:dyDescent="0.2">
      <c r="A5542" t="s">
        <v>220</v>
      </c>
      <c r="B5542" t="s">
        <v>5342</v>
      </c>
      <c r="C5542" t="s">
        <v>16985</v>
      </c>
      <c r="D5542" t="s">
        <v>16986</v>
      </c>
      <c r="E5542" t="s">
        <v>1303</v>
      </c>
      <c r="F5542" t="s">
        <v>356</v>
      </c>
      <c r="G5542" t="s">
        <v>17</v>
      </c>
      <c r="H5542">
        <f>25601*(1.01^10)</f>
        <v>28279.431032652254</v>
      </c>
      <c r="I5542">
        <f>119357*(1.01^10)</f>
        <v>131844.38302270515</v>
      </c>
      <c r="J5542" t="s">
        <v>16987</v>
      </c>
      <c r="K5542">
        <f t="shared" si="86"/>
        <v>156.02885564817177</v>
      </c>
    </row>
    <row r="5543" spans="1:11" x14ac:dyDescent="0.2">
      <c r="A5543" t="s">
        <v>220</v>
      </c>
      <c r="B5543" t="s">
        <v>5342</v>
      </c>
      <c r="C5543" t="s">
        <v>16988</v>
      </c>
      <c r="D5543" t="s">
        <v>16989</v>
      </c>
      <c r="E5543" t="s">
        <v>1912</v>
      </c>
      <c r="F5543" t="s">
        <v>12</v>
      </c>
      <c r="G5543" t="s">
        <v>12</v>
      </c>
      <c r="H5543">
        <f>18155*(1.01^10)</f>
        <v>20054.41468684042</v>
      </c>
      <c r="I5543">
        <f>78662*(1.01^10)</f>
        <v>86891.785629096194</v>
      </c>
      <c r="J5543" t="s">
        <v>16990</v>
      </c>
      <c r="K5543">
        <f t="shared" si="86"/>
        <v>66.178054553767097</v>
      </c>
    </row>
    <row r="5544" spans="1:11" x14ac:dyDescent="0.2">
      <c r="A5544" t="s">
        <v>220</v>
      </c>
      <c r="B5544" t="s">
        <v>5342</v>
      </c>
      <c r="C5544" t="s">
        <v>16991</v>
      </c>
      <c r="D5544" t="s">
        <v>16992</v>
      </c>
      <c r="E5544" t="s">
        <v>498</v>
      </c>
      <c r="F5544" t="s">
        <v>158</v>
      </c>
      <c r="G5544" t="s">
        <v>17</v>
      </c>
      <c r="H5544">
        <f>21931*(1.01^10)</f>
        <v>24225.467832393133</v>
      </c>
      <c r="I5544">
        <f>106174*(1.01^10)</f>
        <v>117282.14954340925</v>
      </c>
      <c r="J5544" t="s">
        <v>895</v>
      </c>
      <c r="K5544">
        <f t="shared" si="86"/>
        <v>173.4943040582977</v>
      </c>
    </row>
    <row r="5545" spans="1:11" x14ac:dyDescent="0.2">
      <c r="A5545" t="s">
        <v>220</v>
      </c>
      <c r="B5545" t="s">
        <v>5342</v>
      </c>
      <c r="C5545" t="s">
        <v>16993</v>
      </c>
      <c r="D5545" t="s">
        <v>16994</v>
      </c>
      <c r="E5545" t="s">
        <v>1405</v>
      </c>
      <c r="F5545" t="s">
        <v>24</v>
      </c>
      <c r="G5545" t="s">
        <v>12</v>
      </c>
      <c r="H5545">
        <f>43091*(1.01^10)</f>
        <v>47599.272006094223</v>
      </c>
      <c r="I5545">
        <f>186908*(1.01^10)</f>
        <v>206462.71221635747</v>
      </c>
      <c r="J5545" t="s">
        <v>3957</v>
      </c>
      <c r="K5545">
        <f t="shared" si="86"/>
        <v>156.52972874629071</v>
      </c>
    </row>
    <row r="5546" spans="1:11" x14ac:dyDescent="0.2">
      <c r="A5546" t="s">
        <v>220</v>
      </c>
      <c r="B5546" t="s">
        <v>5342</v>
      </c>
      <c r="C5546" t="s">
        <v>16995</v>
      </c>
      <c r="D5546" t="s">
        <v>16996</v>
      </c>
      <c r="E5546" t="s">
        <v>168</v>
      </c>
      <c r="F5546" t="s">
        <v>11</v>
      </c>
      <c r="G5546" t="s">
        <v>11</v>
      </c>
      <c r="H5546">
        <f>25476*(1.01^10)</f>
        <v>28141.353266975853</v>
      </c>
      <c r="I5546">
        <f>107332*(1.01^10)</f>
        <v>118561.30196463542</v>
      </c>
      <c r="J5546" t="s">
        <v>3328</v>
      </c>
      <c r="K5546">
        <f t="shared" si="86"/>
        <v>127.48527092971551</v>
      </c>
    </row>
    <row r="5547" spans="1:11" x14ac:dyDescent="0.2">
      <c r="A5547" t="s">
        <v>220</v>
      </c>
      <c r="B5547" t="s">
        <v>5342</v>
      </c>
      <c r="C5547" t="s">
        <v>16997</v>
      </c>
      <c r="D5547" t="s">
        <v>16998</v>
      </c>
      <c r="E5547" t="s">
        <v>1303</v>
      </c>
      <c r="F5547" t="s">
        <v>152</v>
      </c>
      <c r="G5547" t="s">
        <v>12</v>
      </c>
      <c r="H5547">
        <f>35023*(1.01^10)</f>
        <v>38687.180698276621</v>
      </c>
      <c r="I5547">
        <f>154280*(1.01^10)</f>
        <v>170421.10150844068</v>
      </c>
      <c r="J5547" t="s">
        <v>3427</v>
      </c>
      <c r="K5547">
        <f t="shared" si="86"/>
        <v>289.33973091416073</v>
      </c>
    </row>
    <row r="5548" spans="1:11" x14ac:dyDescent="0.2">
      <c r="A5548" t="s">
        <v>220</v>
      </c>
      <c r="B5548" t="s">
        <v>5342</v>
      </c>
      <c r="C5548" t="s">
        <v>16999</v>
      </c>
      <c r="D5548" t="s">
        <v>17000</v>
      </c>
      <c r="E5548" t="s">
        <v>444</v>
      </c>
      <c r="F5548" t="s">
        <v>12</v>
      </c>
      <c r="G5548" t="s">
        <v>12</v>
      </c>
      <c r="H5548">
        <f>23261*(1.01^10)</f>
        <v>25694.615259190035</v>
      </c>
      <c r="I5548">
        <f>97322*(1.01^10)</f>
        <v>107504.03448926927</v>
      </c>
      <c r="J5548" t="s">
        <v>17001</v>
      </c>
      <c r="K5548">
        <f t="shared" si="86"/>
        <v>124.28212079684309</v>
      </c>
    </row>
    <row r="5549" spans="1:11" x14ac:dyDescent="0.2">
      <c r="A5549" t="s">
        <v>220</v>
      </c>
      <c r="B5549" t="s">
        <v>5342</v>
      </c>
      <c r="C5549" t="s">
        <v>17002</v>
      </c>
      <c r="D5549" t="s">
        <v>17003</v>
      </c>
      <c r="E5549" t="s">
        <v>287</v>
      </c>
      <c r="F5549" t="s">
        <v>12</v>
      </c>
      <c r="G5549" t="s">
        <v>12</v>
      </c>
      <c r="H5549">
        <f>37750*(1.01^10)</f>
        <v>41699.485234272979</v>
      </c>
      <c r="I5549">
        <f>166264*(1.01^10)</f>
        <v>183658.89305936854</v>
      </c>
      <c r="J5549" t="s">
        <v>3140</v>
      </c>
      <c r="K5549">
        <f t="shared" si="86"/>
        <v>243.57943376574076</v>
      </c>
    </row>
    <row r="5550" spans="1:11" x14ac:dyDescent="0.2">
      <c r="A5550" t="s">
        <v>220</v>
      </c>
      <c r="B5550" t="s">
        <v>5342</v>
      </c>
      <c r="C5550" t="s">
        <v>17004</v>
      </c>
      <c r="D5550" t="s">
        <v>17005</v>
      </c>
      <c r="E5550" t="s">
        <v>612</v>
      </c>
      <c r="F5550" t="s">
        <v>24</v>
      </c>
      <c r="G5550" t="s">
        <v>11</v>
      </c>
      <c r="H5550">
        <f>30529*(1.01^10)</f>
        <v>33723.008866678669</v>
      </c>
      <c r="I5550">
        <f>161576*(1.01^10)</f>
        <v>178480.4245354408</v>
      </c>
      <c r="J5550" t="s">
        <v>1641</v>
      </c>
      <c r="K5550">
        <f t="shared" si="86"/>
        <v>508.49123799270882</v>
      </c>
    </row>
    <row r="5551" spans="1:11" x14ac:dyDescent="0.2">
      <c r="A5551" t="s">
        <v>220</v>
      </c>
      <c r="B5551" t="s">
        <v>5342</v>
      </c>
      <c r="C5551" t="s">
        <v>6484</v>
      </c>
      <c r="D5551" t="s">
        <v>6485</v>
      </c>
      <c r="E5551" t="s">
        <v>24</v>
      </c>
      <c r="F5551" t="s">
        <v>24</v>
      </c>
      <c r="G5551" t="s">
        <v>12</v>
      </c>
      <c r="H5551">
        <f>11735*(1.01^10)</f>
        <v>12962.740641700488</v>
      </c>
      <c r="I5551">
        <f>52069*(1.01^10)</f>
        <v>57516.569448036018</v>
      </c>
      <c r="J5551" t="s">
        <v>17006</v>
      </c>
      <c r="K5551">
        <f t="shared" si="86"/>
        <v>6750.7710619760592</v>
      </c>
    </row>
    <row r="5552" spans="1:11" x14ac:dyDescent="0.2">
      <c r="A5552" t="s">
        <v>220</v>
      </c>
      <c r="B5552" t="s">
        <v>17007</v>
      </c>
      <c r="C5552" t="s">
        <v>17008</v>
      </c>
      <c r="D5552" t="s">
        <v>17009</v>
      </c>
      <c r="E5552" t="s">
        <v>1060</v>
      </c>
      <c r="F5552" t="s">
        <v>12</v>
      </c>
      <c r="G5552" t="s">
        <v>17</v>
      </c>
      <c r="H5552">
        <f>38384*(1.01^10)</f>
        <v>42399.815661783679</v>
      </c>
      <c r="I5552">
        <f>187910*(1.01^10)</f>
        <v>207569.54358601948</v>
      </c>
      <c r="J5552" t="s">
        <v>2827</v>
      </c>
      <c r="K5552">
        <f t="shared" si="86"/>
        <v>355.42730066099227</v>
      </c>
    </row>
    <row r="5553" spans="1:11" x14ac:dyDescent="0.2">
      <c r="A5553" t="s">
        <v>220</v>
      </c>
      <c r="B5553" t="s">
        <v>17007</v>
      </c>
      <c r="C5553" t="s">
        <v>17010</v>
      </c>
      <c r="D5553" t="s">
        <v>17011</v>
      </c>
      <c r="E5553" t="s">
        <v>137</v>
      </c>
      <c r="F5553" t="s">
        <v>24</v>
      </c>
      <c r="G5553" t="s">
        <v>12</v>
      </c>
      <c r="H5553">
        <f>31326*(1.01^10)</f>
        <v>34603.392700631397</v>
      </c>
      <c r="I5553">
        <f>161521*(1.01^10)</f>
        <v>178419.67031854321</v>
      </c>
      <c r="J5553" t="s">
        <v>14153</v>
      </c>
      <c r="K5553">
        <f t="shared" si="86"/>
        <v>332.25264491348827</v>
      </c>
    </row>
    <row r="5554" spans="1:11" x14ac:dyDescent="0.2">
      <c r="A5554" t="s">
        <v>220</v>
      </c>
      <c r="B5554" t="s">
        <v>17007</v>
      </c>
      <c r="C5554" t="s">
        <v>17012</v>
      </c>
      <c r="D5554" t="s">
        <v>17013</v>
      </c>
      <c r="E5554" t="s">
        <v>2400</v>
      </c>
      <c r="F5554" t="s">
        <v>12</v>
      </c>
      <c r="G5554" t="s">
        <v>12</v>
      </c>
      <c r="H5554">
        <f>53384*(1.01^10)</f>
        <v>58969.147542951752</v>
      </c>
      <c r="I5554">
        <f>260455*(1.01^10)</f>
        <v>287704.35567397531</v>
      </c>
      <c r="J5554" t="s">
        <v>3674</v>
      </c>
      <c r="K5554">
        <f t="shared" si="86"/>
        <v>373.64202035581206</v>
      </c>
    </row>
    <row r="5555" spans="1:11" x14ac:dyDescent="0.2">
      <c r="A5555" t="s">
        <v>220</v>
      </c>
      <c r="B5555" t="s">
        <v>17007</v>
      </c>
      <c r="C5555" t="s">
        <v>17014</v>
      </c>
      <c r="D5555" t="s">
        <v>17015</v>
      </c>
      <c r="E5555" t="s">
        <v>2395</v>
      </c>
      <c r="F5555" t="s">
        <v>24</v>
      </c>
      <c r="G5555" t="s">
        <v>12</v>
      </c>
      <c r="H5555">
        <f>58533*(1.01^10)</f>
        <v>64656.846866694046</v>
      </c>
      <c r="I5555">
        <f>280362*(1.01^10)</f>
        <v>309694.0683245362</v>
      </c>
      <c r="J5555" t="s">
        <v>5030</v>
      </c>
      <c r="K5555">
        <f t="shared" si="86"/>
        <v>388.57474068323239</v>
      </c>
    </row>
    <row r="5556" spans="1:11" x14ac:dyDescent="0.2">
      <c r="A5556" t="s">
        <v>220</v>
      </c>
      <c r="B5556" t="s">
        <v>17007</v>
      </c>
      <c r="C5556" t="s">
        <v>17016</v>
      </c>
      <c r="D5556" t="s">
        <v>17017</v>
      </c>
      <c r="E5556" t="s">
        <v>67</v>
      </c>
      <c r="F5556" t="s">
        <v>17</v>
      </c>
      <c r="G5556" t="s">
        <v>12</v>
      </c>
      <c r="H5556">
        <f>29566*(1.01^10)</f>
        <v>32659.257759907679</v>
      </c>
      <c r="I5556">
        <f>141024*(1.01^10)</f>
        <v>155778.23061398973</v>
      </c>
      <c r="J5556" t="s">
        <v>1073</v>
      </c>
      <c r="K5556">
        <f t="shared" si="86"/>
        <v>359.76496677595782</v>
      </c>
    </row>
    <row r="5557" spans="1:11" x14ac:dyDescent="0.2">
      <c r="A5557" t="s">
        <v>220</v>
      </c>
      <c r="B5557" t="s">
        <v>17007</v>
      </c>
      <c r="C5557" t="s">
        <v>17018</v>
      </c>
      <c r="D5557" t="s">
        <v>17019</v>
      </c>
      <c r="E5557" t="s">
        <v>282</v>
      </c>
      <c r="F5557" t="s">
        <v>11</v>
      </c>
      <c r="G5557" t="s">
        <v>12</v>
      </c>
      <c r="H5557">
        <f>50043*(1.01^10)</f>
        <v>55278.605021952921</v>
      </c>
      <c r="I5557">
        <f>231115*(1.01^10)</f>
        <v>255294.74251441058</v>
      </c>
      <c r="J5557" t="s">
        <v>17020</v>
      </c>
      <c r="K5557">
        <f t="shared" si="86"/>
        <v>318.72002810787836</v>
      </c>
    </row>
    <row r="5558" spans="1:11" x14ac:dyDescent="0.2">
      <c r="A5558" t="s">
        <v>220</v>
      </c>
      <c r="B5558" t="s">
        <v>17007</v>
      </c>
      <c r="C5558" t="s">
        <v>17021</v>
      </c>
      <c r="D5558" t="s">
        <v>17022</v>
      </c>
      <c r="E5558" t="s">
        <v>1549</v>
      </c>
      <c r="F5558" t="s">
        <v>24</v>
      </c>
      <c r="G5558" t="s">
        <v>11</v>
      </c>
      <c r="H5558">
        <f>69178*(1.01^10)</f>
        <v>76415.549391696317</v>
      </c>
      <c r="I5558">
        <f>335281*(1.01^10)</f>
        <v>370358.81082999415</v>
      </c>
      <c r="J5558" t="s">
        <v>4317</v>
      </c>
      <c r="K5558">
        <f t="shared" si="86"/>
        <v>411.05306418423322</v>
      </c>
    </row>
    <row r="5559" spans="1:11" x14ac:dyDescent="0.2">
      <c r="A5559" t="s">
        <v>220</v>
      </c>
      <c r="B5559" t="s">
        <v>17023</v>
      </c>
      <c r="C5559" t="s">
        <v>17024</v>
      </c>
      <c r="D5559" t="s">
        <v>17025</v>
      </c>
      <c r="E5559" t="s">
        <v>1027</v>
      </c>
      <c r="F5559" t="s">
        <v>12</v>
      </c>
      <c r="G5559" t="s">
        <v>12</v>
      </c>
      <c r="H5559">
        <f>38656*(1.01^10)</f>
        <v>42700.272879895529</v>
      </c>
      <c r="I5559">
        <f>195219*(1.01^10)</f>
        <v>215643.22670064998</v>
      </c>
      <c r="J5559" t="s">
        <v>17026</v>
      </c>
      <c r="K5559">
        <f t="shared" si="86"/>
        <v>227.47175812304849</v>
      </c>
    </row>
    <row r="5560" spans="1:11" x14ac:dyDescent="0.2">
      <c r="A5560" t="s">
        <v>220</v>
      </c>
      <c r="B5560" t="s">
        <v>17023</v>
      </c>
      <c r="C5560" t="s">
        <v>17027</v>
      </c>
      <c r="D5560" t="s">
        <v>17028</v>
      </c>
      <c r="E5560" t="s">
        <v>619</v>
      </c>
      <c r="F5560" t="s">
        <v>11</v>
      </c>
      <c r="G5560" t="s">
        <v>24</v>
      </c>
      <c r="H5560">
        <f>36616*(1.01^10)</f>
        <v>40446.84374405667</v>
      </c>
      <c r="I5560">
        <f>188238*(1.01^10)</f>
        <v>207931.85964315437</v>
      </c>
      <c r="J5560" t="s">
        <v>4715</v>
      </c>
      <c r="K5560">
        <f t="shared" si="86"/>
        <v>205.46626446952013</v>
      </c>
    </row>
    <row r="5561" spans="1:11" x14ac:dyDescent="0.2">
      <c r="A5561" t="s">
        <v>220</v>
      </c>
      <c r="B5561" t="s">
        <v>17023</v>
      </c>
      <c r="C5561" t="s">
        <v>17029</v>
      </c>
      <c r="D5561" t="s">
        <v>17030</v>
      </c>
      <c r="E5561" t="s">
        <v>998</v>
      </c>
      <c r="F5561" t="s">
        <v>6</v>
      </c>
      <c r="G5561" t="s">
        <v>11</v>
      </c>
      <c r="H5561">
        <f>94190*(1.01^10)</f>
        <v>104044.35799248138</v>
      </c>
      <c r="I5561">
        <f>459991*(1.01^10)</f>
        <v>508116.23609002546</v>
      </c>
      <c r="J5561" t="s">
        <v>1500</v>
      </c>
      <c r="K5561">
        <f t="shared" si="86"/>
        <v>544.02166604927777</v>
      </c>
    </row>
    <row r="5562" spans="1:11" x14ac:dyDescent="0.2">
      <c r="A5562" t="s">
        <v>220</v>
      </c>
      <c r="B5562" t="s">
        <v>17023</v>
      </c>
      <c r="C5562" t="s">
        <v>17031</v>
      </c>
      <c r="D5562" t="s">
        <v>17032</v>
      </c>
      <c r="E5562" t="s">
        <v>498</v>
      </c>
      <c r="F5562" t="s">
        <v>24</v>
      </c>
      <c r="G5562" t="s">
        <v>17</v>
      </c>
      <c r="H5562">
        <f>52180*(1.01^10)</f>
        <v>57639.182503956661</v>
      </c>
      <c r="I5562">
        <f>269104*(1.01^10)</f>
        <v>297258.23243665684</v>
      </c>
      <c r="J5562" t="s">
        <v>4004</v>
      </c>
      <c r="K5562">
        <f t="shared" si="86"/>
        <v>285.82522349678544</v>
      </c>
    </row>
    <row r="5563" spans="1:11" x14ac:dyDescent="0.2">
      <c r="A5563" t="s">
        <v>220</v>
      </c>
      <c r="B5563" t="s">
        <v>17023</v>
      </c>
      <c r="C5563" t="s">
        <v>17033</v>
      </c>
      <c r="D5563" t="s">
        <v>17034</v>
      </c>
      <c r="E5563" t="s">
        <v>611</v>
      </c>
      <c r="F5563" t="s">
        <v>158</v>
      </c>
      <c r="G5563" t="s">
        <v>12</v>
      </c>
      <c r="H5563">
        <f>156081*(1.01^10)</f>
        <v>172410.52595630626</v>
      </c>
      <c r="I5563">
        <f>770929*(1.01^10)</f>
        <v>851585.23052113468</v>
      </c>
      <c r="J5563" t="s">
        <v>6086</v>
      </c>
      <c r="K5563">
        <f t="shared" si="86"/>
        <v>504.19492630025735</v>
      </c>
    </row>
    <row r="5564" spans="1:11" x14ac:dyDescent="0.2">
      <c r="A5564" t="s">
        <v>220</v>
      </c>
      <c r="B5564" t="s">
        <v>17023</v>
      </c>
      <c r="C5564" t="s">
        <v>17035</v>
      </c>
      <c r="D5564" t="s">
        <v>17036</v>
      </c>
      <c r="E5564" t="s">
        <v>1054</v>
      </c>
      <c r="F5564" t="s">
        <v>108</v>
      </c>
      <c r="G5564" t="s">
        <v>5</v>
      </c>
      <c r="H5564">
        <f>52067*(1.01^10)</f>
        <v>57514.360203785196</v>
      </c>
      <c r="I5564">
        <f>260213*(1.01^10)</f>
        <v>287437.03711962583</v>
      </c>
      <c r="J5564" t="s">
        <v>3914</v>
      </c>
      <c r="K5564">
        <f t="shared" si="86"/>
        <v>230.87312218443842</v>
      </c>
    </row>
    <row r="5565" spans="1:11" x14ac:dyDescent="0.2">
      <c r="A5565" t="s">
        <v>220</v>
      </c>
      <c r="B5565" t="s">
        <v>17023</v>
      </c>
      <c r="C5565" t="s">
        <v>17037</v>
      </c>
      <c r="D5565" t="s">
        <v>17038</v>
      </c>
      <c r="E5565" t="s">
        <v>1387</v>
      </c>
      <c r="F5565" t="s">
        <v>17</v>
      </c>
      <c r="G5565" t="s">
        <v>17</v>
      </c>
      <c r="H5565">
        <f>59328*(1.01^10)</f>
        <v>65535.021456395953</v>
      </c>
      <c r="I5565">
        <f>308901*(1.01^10)</f>
        <v>341218.87916164653</v>
      </c>
      <c r="J5565" t="s">
        <v>17039</v>
      </c>
      <c r="K5565">
        <f t="shared" si="86"/>
        <v>214.19891974993504</v>
      </c>
    </row>
    <row r="5566" spans="1:11" x14ac:dyDescent="0.2">
      <c r="A5566" t="s">
        <v>220</v>
      </c>
      <c r="B5566" t="s">
        <v>681</v>
      </c>
      <c r="C5566" t="s">
        <v>17040</v>
      </c>
      <c r="D5566" t="s">
        <v>17041</v>
      </c>
      <c r="E5566" t="s">
        <v>394</v>
      </c>
      <c r="F5566" t="s">
        <v>108</v>
      </c>
      <c r="G5566" t="s">
        <v>12</v>
      </c>
      <c r="H5566">
        <f>27551*(1.01^10)</f>
        <v>30433.444177204103</v>
      </c>
      <c r="I5566">
        <f>141284*(1.01^10)</f>
        <v>156065.43236659665</v>
      </c>
      <c r="J5566" t="s">
        <v>2899</v>
      </c>
      <c r="K5566">
        <f t="shared" si="86"/>
        <v>211.1846175461389</v>
      </c>
    </row>
    <row r="5567" spans="1:11" x14ac:dyDescent="0.2">
      <c r="A5567" t="s">
        <v>220</v>
      </c>
      <c r="B5567" t="s">
        <v>681</v>
      </c>
      <c r="C5567" t="s">
        <v>17042</v>
      </c>
      <c r="D5567" t="s">
        <v>17043</v>
      </c>
      <c r="E5567" t="s">
        <v>1227</v>
      </c>
      <c r="F5567" t="s">
        <v>458</v>
      </c>
      <c r="G5567" t="s">
        <v>12</v>
      </c>
      <c r="H5567">
        <f>76361*(1.01^10)</f>
        <v>84350.050118525003</v>
      </c>
      <c r="I5567">
        <f>365784*(1.01^10)</f>
        <v>404053.09952141211</v>
      </c>
      <c r="J5567" t="s">
        <v>17044</v>
      </c>
      <c r="K5567">
        <f t="shared" si="86"/>
        <v>194.81827363616785</v>
      </c>
    </row>
    <row r="5568" spans="1:11" x14ac:dyDescent="0.2">
      <c r="A5568" t="s">
        <v>220</v>
      </c>
      <c r="B5568" t="s">
        <v>681</v>
      </c>
      <c r="C5568" t="s">
        <v>17045</v>
      </c>
      <c r="D5568" t="s">
        <v>17046</v>
      </c>
      <c r="E5568" t="s">
        <v>407</v>
      </c>
      <c r="F5568" t="s">
        <v>796</v>
      </c>
      <c r="G5568" t="s">
        <v>17</v>
      </c>
      <c r="H5568">
        <f>90256*(1.01^10)</f>
        <v>99698.774551113689</v>
      </c>
      <c r="I5568">
        <f>423879*(1.01^10)</f>
        <v>468226.12189717608</v>
      </c>
      <c r="J5568" t="s">
        <v>5864</v>
      </c>
      <c r="K5568">
        <f t="shared" si="86"/>
        <v>338.55829493649753</v>
      </c>
    </row>
    <row r="5569" spans="1:11" x14ac:dyDescent="0.2">
      <c r="A5569" t="s">
        <v>220</v>
      </c>
      <c r="B5569" t="s">
        <v>681</v>
      </c>
      <c r="C5569" t="s">
        <v>17047</v>
      </c>
      <c r="D5569" t="s">
        <v>17048</v>
      </c>
      <c r="E5569" t="s">
        <v>151</v>
      </c>
      <c r="F5569" t="s">
        <v>142</v>
      </c>
      <c r="G5569" t="s">
        <v>17</v>
      </c>
      <c r="H5569">
        <f>45730*(1.01^10)</f>
        <v>50514.369795054394</v>
      </c>
      <c r="I5569">
        <f>207260*(1.01^10)</f>
        <v>228943.98171272629</v>
      </c>
      <c r="J5569" t="s">
        <v>4011</v>
      </c>
      <c r="K5569">
        <f t="shared" si="86"/>
        <v>208.32027453387289</v>
      </c>
    </row>
    <row r="5570" spans="1:11" x14ac:dyDescent="0.2">
      <c r="A5570" t="s">
        <v>220</v>
      </c>
      <c r="B5570" t="s">
        <v>681</v>
      </c>
      <c r="C5570" t="s">
        <v>17049</v>
      </c>
      <c r="D5570" t="s">
        <v>17050</v>
      </c>
      <c r="E5570" t="s">
        <v>798</v>
      </c>
      <c r="F5570" t="s">
        <v>726</v>
      </c>
      <c r="G5570" t="s">
        <v>12</v>
      </c>
      <c r="H5570">
        <f>53019*(1.01^10)</f>
        <v>58565.960467176665</v>
      </c>
      <c r="I5570">
        <f>235116*(1.01^10)</f>
        <v>259714.33563818081</v>
      </c>
      <c r="J5570" t="s">
        <v>17051</v>
      </c>
      <c r="K5570">
        <f t="shared" si="86"/>
        <v>180.60802200151656</v>
      </c>
    </row>
    <row r="5571" spans="1:11" x14ac:dyDescent="0.2">
      <c r="A5571" t="s">
        <v>220</v>
      </c>
      <c r="B5571" t="s">
        <v>681</v>
      </c>
      <c r="C5571" t="s">
        <v>17052</v>
      </c>
      <c r="D5571" t="s">
        <v>17053</v>
      </c>
      <c r="E5571" t="s">
        <v>413</v>
      </c>
      <c r="F5571" t="s">
        <v>6</v>
      </c>
      <c r="G5571" t="s">
        <v>12</v>
      </c>
      <c r="H5571">
        <f>64086*(1.01^10)</f>
        <v>70790.813529102466</v>
      </c>
      <c r="I5571">
        <f>286133*(1.01^10)</f>
        <v>316068.84261028422</v>
      </c>
      <c r="J5571" t="s">
        <v>4600</v>
      </c>
      <c r="K5571">
        <f t="shared" ref="K5571:K5634" si="87">I5571/J5571</f>
        <v>185.59532742823501</v>
      </c>
    </row>
    <row r="5572" spans="1:11" x14ac:dyDescent="0.2">
      <c r="A5572" t="s">
        <v>220</v>
      </c>
      <c r="B5572" t="s">
        <v>2986</v>
      </c>
      <c r="C5572" t="s">
        <v>17054</v>
      </c>
      <c r="D5572" t="s">
        <v>17055</v>
      </c>
      <c r="E5572" t="s">
        <v>1054</v>
      </c>
      <c r="F5572" t="s">
        <v>152</v>
      </c>
      <c r="G5572" t="s">
        <v>11</v>
      </c>
      <c r="H5572">
        <f>52434*(1.01^10)</f>
        <v>57919.756523811113</v>
      </c>
      <c r="I5572">
        <f>254170*(1.01^10)</f>
        <v>280761.80561576592</v>
      </c>
      <c r="J5572" t="s">
        <v>289</v>
      </c>
      <c r="K5572">
        <f t="shared" si="87"/>
        <v>578.89032085724932</v>
      </c>
    </row>
    <row r="5573" spans="1:11" x14ac:dyDescent="0.2">
      <c r="A5573" t="s">
        <v>220</v>
      </c>
      <c r="B5573" t="s">
        <v>2986</v>
      </c>
      <c r="C5573" t="s">
        <v>17056</v>
      </c>
      <c r="D5573" t="s">
        <v>17057</v>
      </c>
      <c r="E5573" t="s">
        <v>1229</v>
      </c>
      <c r="F5573" t="s">
        <v>12</v>
      </c>
      <c r="G5573" t="s">
        <v>12</v>
      </c>
      <c r="H5573">
        <f>58561*(1.01^10)</f>
        <v>64687.776286205561</v>
      </c>
      <c r="I5573">
        <f>302003*(1.01^10)</f>
        <v>333599.19574056007</v>
      </c>
      <c r="J5573" t="s">
        <v>17058</v>
      </c>
      <c r="K5573">
        <f t="shared" si="87"/>
        <v>232.47330713627881</v>
      </c>
    </row>
    <row r="5574" spans="1:11" x14ac:dyDescent="0.2">
      <c r="A5574" t="s">
        <v>220</v>
      </c>
      <c r="B5574" t="s">
        <v>2986</v>
      </c>
      <c r="C5574" t="s">
        <v>17059</v>
      </c>
      <c r="D5574" t="s">
        <v>17060</v>
      </c>
      <c r="E5574" t="s">
        <v>1049</v>
      </c>
      <c r="F5574" t="s">
        <v>72</v>
      </c>
      <c r="G5574" t="s">
        <v>12</v>
      </c>
      <c r="H5574">
        <f>35147*(1.01^10)</f>
        <v>38824.15384182761</v>
      </c>
      <c r="I5574">
        <f>171822*(1.01^10)</f>
        <v>189798.38283240402</v>
      </c>
      <c r="J5574" t="s">
        <v>3404</v>
      </c>
      <c r="K5574">
        <f t="shared" si="87"/>
        <v>195.66843590969486</v>
      </c>
    </row>
    <row r="5575" spans="1:11" x14ac:dyDescent="0.2">
      <c r="A5575" t="s">
        <v>220</v>
      </c>
      <c r="B5575" t="s">
        <v>2986</v>
      </c>
      <c r="C5575" t="s">
        <v>17061</v>
      </c>
      <c r="D5575" t="s">
        <v>17062</v>
      </c>
      <c r="E5575" t="s">
        <v>2400</v>
      </c>
      <c r="F5575" t="s">
        <v>382</v>
      </c>
      <c r="G5575" t="s">
        <v>12</v>
      </c>
      <c r="H5575">
        <f>147490*(1.01^10)</f>
        <v>162920.71727689859</v>
      </c>
      <c r="I5575">
        <f>681979*(1.01^10)</f>
        <v>753329.09246580803</v>
      </c>
      <c r="J5575" t="s">
        <v>2992</v>
      </c>
      <c r="K5575">
        <f t="shared" si="87"/>
        <v>786.35604641524844</v>
      </c>
    </row>
    <row r="5576" spans="1:11" x14ac:dyDescent="0.2">
      <c r="A5576" t="s">
        <v>220</v>
      </c>
      <c r="B5576" t="s">
        <v>2986</v>
      </c>
      <c r="C5576" t="s">
        <v>17063</v>
      </c>
      <c r="D5576" t="s">
        <v>17064</v>
      </c>
      <c r="E5576" t="s">
        <v>2400</v>
      </c>
      <c r="F5576" t="s">
        <v>356</v>
      </c>
      <c r="G5576" t="s">
        <v>12</v>
      </c>
      <c r="H5576">
        <f>50640*(1.01^10)</f>
        <v>55938.064430823411</v>
      </c>
      <c r="I5576">
        <f>233206*(1.01^10)</f>
        <v>257604.50737864542</v>
      </c>
      <c r="J5576" t="s">
        <v>17065</v>
      </c>
      <c r="K5576">
        <f t="shared" si="87"/>
        <v>297.46478912083768</v>
      </c>
    </row>
    <row r="5577" spans="1:11" x14ac:dyDescent="0.2">
      <c r="A5577" t="s">
        <v>220</v>
      </c>
      <c r="B5577" t="s">
        <v>2986</v>
      </c>
      <c r="C5577" t="s">
        <v>17066</v>
      </c>
      <c r="D5577" t="s">
        <v>17067</v>
      </c>
      <c r="E5577" t="s">
        <v>740</v>
      </c>
      <c r="F5577" t="s">
        <v>764</v>
      </c>
      <c r="G5577" t="s">
        <v>12</v>
      </c>
      <c r="H5577">
        <f>65904*(1.01^10)</f>
        <v>72799.016553100038</v>
      </c>
      <c r="I5577">
        <f>302317*(1.01^10)</f>
        <v>333946.04708793917</v>
      </c>
      <c r="J5577" t="s">
        <v>17068</v>
      </c>
      <c r="K5577">
        <f t="shared" si="87"/>
        <v>275.98846866771834</v>
      </c>
    </row>
    <row r="5578" spans="1:11" x14ac:dyDescent="0.2">
      <c r="A5578" t="s">
        <v>220</v>
      </c>
      <c r="B5578" t="s">
        <v>17069</v>
      </c>
      <c r="C5578" t="s">
        <v>17070</v>
      </c>
      <c r="D5578" t="s">
        <v>17071</v>
      </c>
      <c r="E5578" t="s">
        <v>2216</v>
      </c>
      <c r="F5578" t="s">
        <v>152</v>
      </c>
      <c r="G5578" t="s">
        <v>17</v>
      </c>
      <c r="H5578">
        <f>48396*(1.01^10)</f>
        <v>53459.292381400664</v>
      </c>
      <c r="I5578">
        <f>206319*(1.01^10)</f>
        <v>227904.53229271434</v>
      </c>
      <c r="J5578" t="s">
        <v>17072</v>
      </c>
      <c r="K5578">
        <f t="shared" si="87"/>
        <v>117.78012004791439</v>
      </c>
    </row>
    <row r="5579" spans="1:11" x14ac:dyDescent="0.2">
      <c r="A5579" t="s">
        <v>220</v>
      </c>
      <c r="B5579" t="s">
        <v>17069</v>
      </c>
      <c r="C5579" t="s">
        <v>17073</v>
      </c>
      <c r="D5579" t="s">
        <v>17074</v>
      </c>
      <c r="E5579" t="s">
        <v>3628</v>
      </c>
      <c r="F5579" t="s">
        <v>77</v>
      </c>
      <c r="G5579" t="s">
        <v>12</v>
      </c>
      <c r="H5579">
        <f>46658*(1.01^10)</f>
        <v>51539.459127435992</v>
      </c>
      <c r="I5579">
        <f>200809*(1.01^10)</f>
        <v>221818.06438169861</v>
      </c>
      <c r="J5579" t="s">
        <v>5060</v>
      </c>
      <c r="K5579">
        <f t="shared" si="87"/>
        <v>192.88527337539008</v>
      </c>
    </row>
    <row r="5580" spans="1:11" x14ac:dyDescent="0.2">
      <c r="A5580" t="s">
        <v>220</v>
      </c>
      <c r="B5580" t="s">
        <v>17069</v>
      </c>
      <c r="C5580" t="s">
        <v>17075</v>
      </c>
      <c r="D5580" t="s">
        <v>2836</v>
      </c>
      <c r="E5580" t="s">
        <v>1441</v>
      </c>
      <c r="F5580" t="s">
        <v>1340</v>
      </c>
      <c r="G5580" t="s">
        <v>17</v>
      </c>
      <c r="H5580">
        <f>51798*(1.01^10)</f>
        <v>57217.216852049583</v>
      </c>
      <c r="I5580">
        <f>238229*(1.01^10)</f>
        <v>263153.0243145859</v>
      </c>
      <c r="J5580" t="s">
        <v>6196</v>
      </c>
      <c r="K5580">
        <f t="shared" si="87"/>
        <v>288.86171714005036</v>
      </c>
    </row>
    <row r="5581" spans="1:11" x14ac:dyDescent="0.2">
      <c r="A5581" t="s">
        <v>220</v>
      </c>
      <c r="B5581" t="s">
        <v>17069</v>
      </c>
      <c r="C5581" t="s">
        <v>17076</v>
      </c>
      <c r="D5581" t="s">
        <v>17077</v>
      </c>
      <c r="E5581" t="s">
        <v>740</v>
      </c>
      <c r="F5581" t="s">
        <v>17</v>
      </c>
      <c r="G5581" t="s">
        <v>12</v>
      </c>
      <c r="H5581">
        <f>27313*(1.01^10)</f>
        <v>30170.544111356234</v>
      </c>
      <c r="I5581">
        <f>118220*(1.01^10)</f>
        <v>130588.42766611262</v>
      </c>
      <c r="J5581" t="s">
        <v>17078</v>
      </c>
      <c r="K5581">
        <f t="shared" si="87"/>
        <v>91.448478757781942</v>
      </c>
    </row>
    <row r="5582" spans="1:11" x14ac:dyDescent="0.2">
      <c r="A5582" t="s">
        <v>220</v>
      </c>
      <c r="B5582" t="s">
        <v>17069</v>
      </c>
      <c r="C5582" t="s">
        <v>17079</v>
      </c>
      <c r="D5582" t="s">
        <v>17080</v>
      </c>
      <c r="E5582" t="s">
        <v>1646</v>
      </c>
      <c r="F5582" t="s">
        <v>17</v>
      </c>
      <c r="G5582" t="s">
        <v>12</v>
      </c>
      <c r="H5582">
        <f>35340*(1.01^10)</f>
        <v>39037.345912031975</v>
      </c>
      <c r="I5582">
        <f>142006*(1.01^10)</f>
        <v>156862.96954114354</v>
      </c>
      <c r="J5582" t="s">
        <v>258</v>
      </c>
      <c r="K5582">
        <f t="shared" si="87"/>
        <v>125.09008735338401</v>
      </c>
    </row>
    <row r="5583" spans="1:11" x14ac:dyDescent="0.2">
      <c r="A5583" t="s">
        <v>220</v>
      </c>
      <c r="B5583" t="s">
        <v>17069</v>
      </c>
      <c r="C5583" t="s">
        <v>17081</v>
      </c>
      <c r="D5583" t="s">
        <v>17082</v>
      </c>
      <c r="E5583" t="s">
        <v>10</v>
      </c>
      <c r="F5583" t="s">
        <v>445</v>
      </c>
      <c r="G5583" t="s">
        <v>12</v>
      </c>
      <c r="H5583">
        <f>117601*(1.01^10)</f>
        <v>129904.6665704831</v>
      </c>
      <c r="I5583">
        <f>507324*(1.01^10)</f>
        <v>560401.31515211402</v>
      </c>
      <c r="J5583" t="s">
        <v>4062</v>
      </c>
      <c r="K5583">
        <f t="shared" si="87"/>
        <v>503.05324519938421</v>
      </c>
    </row>
    <row r="5584" spans="1:11" x14ac:dyDescent="0.2">
      <c r="A5584" t="s">
        <v>220</v>
      </c>
      <c r="B5584" t="s">
        <v>17069</v>
      </c>
      <c r="C5584" t="s">
        <v>17083</v>
      </c>
      <c r="D5584" t="s">
        <v>17084</v>
      </c>
      <c r="E5584" t="s">
        <v>1049</v>
      </c>
      <c r="F5584" t="s">
        <v>405</v>
      </c>
      <c r="G5584" t="s">
        <v>12</v>
      </c>
      <c r="H5584">
        <f>79710*(1.01^10)</f>
        <v>88049.429616527137</v>
      </c>
      <c r="I5584">
        <f>339846*(1.01^10)</f>
        <v>375401.4108324963</v>
      </c>
      <c r="J5584" t="s">
        <v>1605</v>
      </c>
      <c r="K5584">
        <f t="shared" si="87"/>
        <v>547.23237730684593</v>
      </c>
    </row>
    <row r="5585" spans="1:11" x14ac:dyDescent="0.2">
      <c r="A5585" t="s">
        <v>220</v>
      </c>
      <c r="B5585" t="s">
        <v>5714</v>
      </c>
      <c r="C5585" t="s">
        <v>17085</v>
      </c>
      <c r="D5585" t="s">
        <v>17086</v>
      </c>
      <c r="E5585" t="s">
        <v>148</v>
      </c>
      <c r="F5585" t="s">
        <v>24</v>
      </c>
      <c r="G5585" t="s">
        <v>17</v>
      </c>
      <c r="H5585">
        <f>79573*(1.01^10)</f>
        <v>87898.096385345794</v>
      </c>
      <c r="I5585">
        <f>398471*(1.01^10)</f>
        <v>440159.88293472817</v>
      </c>
      <c r="J5585" t="s">
        <v>4780</v>
      </c>
      <c r="K5585">
        <f t="shared" si="87"/>
        <v>280.53529823755781</v>
      </c>
    </row>
    <row r="5586" spans="1:11" x14ac:dyDescent="0.2">
      <c r="A5586" t="s">
        <v>220</v>
      </c>
      <c r="B5586" t="s">
        <v>5714</v>
      </c>
      <c r="C5586" t="s">
        <v>17087</v>
      </c>
      <c r="D5586" t="s">
        <v>17088</v>
      </c>
      <c r="E5586" t="s">
        <v>484</v>
      </c>
      <c r="F5586" t="s">
        <v>24</v>
      </c>
      <c r="G5586" t="s">
        <v>44</v>
      </c>
      <c r="H5586">
        <f>125817*(1.01^10)</f>
        <v>138980.24195286154</v>
      </c>
      <c r="I5586">
        <f>562799*(1.01^10)</f>
        <v>621680.22755930061</v>
      </c>
      <c r="J5586" t="s">
        <v>17089</v>
      </c>
      <c r="K5586">
        <f t="shared" si="87"/>
        <v>662.066270031204</v>
      </c>
    </row>
    <row r="5587" spans="1:11" x14ac:dyDescent="0.2">
      <c r="A5587" t="s">
        <v>220</v>
      </c>
      <c r="B5587" t="s">
        <v>5714</v>
      </c>
      <c r="C5587" t="s">
        <v>17091</v>
      </c>
      <c r="D5587" t="s">
        <v>17092</v>
      </c>
      <c r="E5587" t="s">
        <v>23</v>
      </c>
      <c r="F5587" t="s">
        <v>24</v>
      </c>
      <c r="G5587" t="s">
        <v>17</v>
      </c>
      <c r="H5587">
        <f>47688*(1.01^10)</f>
        <v>52677.219916609531</v>
      </c>
      <c r="I5587">
        <f>216091*(1.01^10)</f>
        <v>238698.89970223265</v>
      </c>
      <c r="J5587" t="s">
        <v>17093</v>
      </c>
      <c r="K5587">
        <f t="shared" si="87"/>
        <v>222.25223435962073</v>
      </c>
    </row>
    <row r="5588" spans="1:11" x14ac:dyDescent="0.2">
      <c r="A5588" t="s">
        <v>220</v>
      </c>
      <c r="B5588" t="s">
        <v>2056</v>
      </c>
      <c r="C5588" t="s">
        <v>17094</v>
      </c>
      <c r="D5588" t="s">
        <v>17095</v>
      </c>
      <c r="E5588" t="s">
        <v>2795</v>
      </c>
      <c r="F5588" t="s">
        <v>12</v>
      </c>
      <c r="G5588" t="s">
        <v>12</v>
      </c>
      <c r="H5588">
        <f>9313*(1.01^10)</f>
        <v>10287.34585395455</v>
      </c>
      <c r="I5588">
        <f>36539*(1.01^10)</f>
        <v>40361.787840400008</v>
      </c>
      <c r="J5588" t="s">
        <v>910</v>
      </c>
      <c r="K5588">
        <f t="shared" si="87"/>
        <v>90.90492756846848</v>
      </c>
    </row>
    <row r="5589" spans="1:11" x14ac:dyDescent="0.2">
      <c r="A5589" t="s">
        <v>220</v>
      </c>
      <c r="B5589" t="s">
        <v>2056</v>
      </c>
      <c r="C5589" t="s">
        <v>17096</v>
      </c>
      <c r="D5589" t="s">
        <v>17097</v>
      </c>
      <c r="E5589" t="s">
        <v>410</v>
      </c>
      <c r="F5589" t="s">
        <v>24</v>
      </c>
      <c r="G5589" t="s">
        <v>12</v>
      </c>
      <c r="H5589">
        <f>21296*(1.01^10)</f>
        <v>23524.032782757015</v>
      </c>
      <c r="I5589">
        <f>84882*(1.01^10)</f>
        <v>93762.53524915388</v>
      </c>
      <c r="J5589" t="s">
        <v>681</v>
      </c>
      <c r="K5589">
        <f t="shared" si="87"/>
        <v>165.65818948613759</v>
      </c>
    </row>
    <row r="5590" spans="1:11" x14ac:dyDescent="0.2">
      <c r="A5590" t="s">
        <v>220</v>
      </c>
      <c r="B5590" t="s">
        <v>2056</v>
      </c>
      <c r="C5590" t="s">
        <v>17098</v>
      </c>
      <c r="D5590" t="s">
        <v>17099</v>
      </c>
      <c r="E5590" t="s">
        <v>164</v>
      </c>
      <c r="F5590" t="s">
        <v>12</v>
      </c>
      <c r="G5590" t="s">
        <v>12</v>
      </c>
      <c r="H5590">
        <f>16566*(1.01^10)</f>
        <v>18299.170129562019</v>
      </c>
      <c r="I5590">
        <f>66090*(1.01^10)</f>
        <v>73004.476268426515</v>
      </c>
      <c r="J5590" t="s">
        <v>2953</v>
      </c>
      <c r="K5590">
        <f t="shared" si="87"/>
        <v>90.914665340506247</v>
      </c>
    </row>
    <row r="5591" spans="1:11" x14ac:dyDescent="0.2">
      <c r="A5591" t="s">
        <v>220</v>
      </c>
      <c r="B5591" t="s">
        <v>2056</v>
      </c>
      <c r="C5591" t="s">
        <v>17100</v>
      </c>
      <c r="D5591" t="s">
        <v>17101</v>
      </c>
      <c r="E5591" t="s">
        <v>856</v>
      </c>
      <c r="F5591" t="s">
        <v>72</v>
      </c>
      <c r="G5591" t="s">
        <v>12</v>
      </c>
      <c r="H5591">
        <f>53225*(1.01^10)</f>
        <v>58793.512625011375</v>
      </c>
      <c r="I5591">
        <f>225280*(1.01^10)</f>
        <v>248849.2724126362</v>
      </c>
      <c r="J5591" t="s">
        <v>17102</v>
      </c>
      <c r="K5591">
        <f t="shared" si="87"/>
        <v>203.80775791370695</v>
      </c>
    </row>
    <row r="5592" spans="1:11" x14ac:dyDescent="0.2">
      <c r="A5592" t="s">
        <v>220</v>
      </c>
      <c r="B5592" t="s">
        <v>2056</v>
      </c>
      <c r="C5592" t="s">
        <v>17103</v>
      </c>
      <c r="D5592" t="s">
        <v>17104</v>
      </c>
      <c r="E5592" t="s">
        <v>438</v>
      </c>
      <c r="F5592" t="s">
        <v>829</v>
      </c>
      <c r="G5592" t="s">
        <v>17</v>
      </c>
      <c r="H5592">
        <f>69575*(1.01^10)</f>
        <v>76854.08437548457</v>
      </c>
      <c r="I5592">
        <f>291668*(1.01^10)</f>
        <v>322182.92607443529</v>
      </c>
      <c r="J5592" t="s">
        <v>17105</v>
      </c>
      <c r="K5592">
        <f t="shared" si="87"/>
        <v>226.72971574555615</v>
      </c>
    </row>
    <row r="5593" spans="1:11" x14ac:dyDescent="0.2">
      <c r="A5593" t="s">
        <v>220</v>
      </c>
      <c r="B5593" t="s">
        <v>2056</v>
      </c>
      <c r="C5593" t="s">
        <v>17106</v>
      </c>
      <c r="D5593" t="s">
        <v>17107</v>
      </c>
      <c r="E5593" t="s">
        <v>856</v>
      </c>
      <c r="F5593" t="s">
        <v>44</v>
      </c>
      <c r="G5593" t="s">
        <v>12</v>
      </c>
      <c r="H5593">
        <f>74176*(1.01^10)</f>
        <v>81936.450774501529</v>
      </c>
      <c r="I5593">
        <f>305368*(1.01^10)</f>
        <v>337316.24919256876</v>
      </c>
      <c r="J5593" t="s">
        <v>5378</v>
      </c>
      <c r="K5593">
        <f t="shared" si="87"/>
        <v>211.88206607573414</v>
      </c>
    </row>
    <row r="5594" spans="1:11" x14ac:dyDescent="0.2">
      <c r="A5594" t="s">
        <v>220</v>
      </c>
      <c r="B5594" t="s">
        <v>2056</v>
      </c>
      <c r="C5594" t="s">
        <v>17108</v>
      </c>
      <c r="D5594" t="s">
        <v>17109</v>
      </c>
      <c r="E5594" t="s">
        <v>679</v>
      </c>
      <c r="F5594" t="s">
        <v>12</v>
      </c>
      <c r="G5594" t="s">
        <v>17</v>
      </c>
      <c r="H5594">
        <f>31934*(1.01^10)</f>
        <v>35275.002952881412</v>
      </c>
      <c r="I5594">
        <f>128134*(1.01^10)</f>
        <v>141539.65141743931</v>
      </c>
      <c r="J5594" t="s">
        <v>3298</v>
      </c>
      <c r="K5594">
        <f t="shared" si="87"/>
        <v>122.5451527423717</v>
      </c>
    </row>
    <row r="5595" spans="1:11" x14ac:dyDescent="0.2">
      <c r="A5595" t="s">
        <v>220</v>
      </c>
      <c r="B5595" t="s">
        <v>17110</v>
      </c>
      <c r="C5595" t="s">
        <v>17111</v>
      </c>
      <c r="D5595" t="s">
        <v>17112</v>
      </c>
      <c r="E5595" t="s">
        <v>301</v>
      </c>
      <c r="F5595" t="s">
        <v>108</v>
      </c>
      <c r="G5595" t="s">
        <v>17</v>
      </c>
      <c r="H5595">
        <f>52612*(1.01^10)</f>
        <v>58116.379262134302</v>
      </c>
      <c r="I5595">
        <f>212130*(1.01^10)</f>
        <v>234323.49146347886</v>
      </c>
      <c r="J5595" t="s">
        <v>4796</v>
      </c>
      <c r="K5595">
        <f t="shared" si="87"/>
        <v>207.73359172294224</v>
      </c>
    </row>
    <row r="5596" spans="1:11" x14ac:dyDescent="0.2">
      <c r="A5596" t="s">
        <v>220</v>
      </c>
      <c r="B5596" t="s">
        <v>17110</v>
      </c>
      <c r="C5596" t="s">
        <v>17113</v>
      </c>
      <c r="D5596" t="s">
        <v>17114</v>
      </c>
      <c r="E5596" t="s">
        <v>722</v>
      </c>
      <c r="F5596" t="s">
        <v>274</v>
      </c>
      <c r="G5596" t="s">
        <v>12</v>
      </c>
      <c r="H5596">
        <f>70754*(1.01^10)</f>
        <v>78156.433861344383</v>
      </c>
      <c r="I5596">
        <f>313758*(1.01^10)</f>
        <v>346584.02882476879</v>
      </c>
      <c r="J5596" t="s">
        <v>4874</v>
      </c>
      <c r="K5596">
        <f t="shared" si="87"/>
        <v>223.17065603655428</v>
      </c>
    </row>
    <row r="5597" spans="1:11" x14ac:dyDescent="0.2">
      <c r="A5597" t="s">
        <v>220</v>
      </c>
      <c r="B5597" t="s">
        <v>17110</v>
      </c>
      <c r="C5597" t="s">
        <v>17115</v>
      </c>
      <c r="D5597" t="s">
        <v>17116</v>
      </c>
      <c r="E5597" t="s">
        <v>328</v>
      </c>
      <c r="F5597" t="s">
        <v>5</v>
      </c>
      <c r="G5597" t="s">
        <v>12</v>
      </c>
      <c r="H5597">
        <f>55652*(1.01^10)</f>
        <v>61474.43052338437</v>
      </c>
      <c r="I5597">
        <f>245194*(1.01^10)</f>
        <v>270846.71741807496</v>
      </c>
      <c r="J5597" t="s">
        <v>3910</v>
      </c>
      <c r="K5597">
        <f t="shared" si="87"/>
        <v>199.00567040270019</v>
      </c>
    </row>
    <row r="5598" spans="1:11" x14ac:dyDescent="0.2">
      <c r="A5598" t="s">
        <v>220</v>
      </c>
      <c r="B5598" t="s">
        <v>17110</v>
      </c>
      <c r="C5598" t="s">
        <v>17117</v>
      </c>
      <c r="D5598" t="s">
        <v>17118</v>
      </c>
      <c r="E5598" t="s">
        <v>577</v>
      </c>
      <c r="F5598" t="s">
        <v>422</v>
      </c>
      <c r="G5598" t="s">
        <v>12</v>
      </c>
      <c r="H5598">
        <f>63924*(1.01^10)</f>
        <v>70611.864744785853</v>
      </c>
      <c r="I5598">
        <f>267866*(1.01^10)</f>
        <v>295890.71024539776</v>
      </c>
      <c r="J5598" t="s">
        <v>866</v>
      </c>
      <c r="K5598">
        <f t="shared" si="87"/>
        <v>265.84969473980033</v>
      </c>
    </row>
    <row r="5599" spans="1:11" x14ac:dyDescent="0.2">
      <c r="A5599" t="s">
        <v>220</v>
      </c>
      <c r="B5599" t="s">
        <v>17110</v>
      </c>
      <c r="C5599" t="s">
        <v>17119</v>
      </c>
      <c r="D5599" t="s">
        <v>17120</v>
      </c>
      <c r="E5599" t="s">
        <v>2342</v>
      </c>
      <c r="F5599" t="s">
        <v>44</v>
      </c>
      <c r="G5599" t="s">
        <v>12</v>
      </c>
      <c r="H5599">
        <f>40619*(1.01^10)</f>
        <v>44868.646112077724</v>
      </c>
      <c r="I5599">
        <f>167591*(1.01^10)</f>
        <v>185124.7266197892</v>
      </c>
      <c r="J5599" t="s">
        <v>17121</v>
      </c>
      <c r="K5599">
        <f t="shared" si="87"/>
        <v>286.12786185438824</v>
      </c>
    </row>
    <row r="5600" spans="1:11" x14ac:dyDescent="0.2">
      <c r="A5600" t="s">
        <v>220</v>
      </c>
      <c r="B5600" t="s">
        <v>17110</v>
      </c>
      <c r="C5600" t="s">
        <v>17122</v>
      </c>
      <c r="D5600" t="s">
        <v>17123</v>
      </c>
      <c r="E5600" t="s">
        <v>1098</v>
      </c>
      <c r="F5600" t="s">
        <v>44</v>
      </c>
      <c r="G5600" t="s">
        <v>12</v>
      </c>
      <c r="H5600">
        <f>140097*(1.01^10)</f>
        <v>154754.24590373356</v>
      </c>
      <c r="I5600">
        <f>592397*(1.01^10)</f>
        <v>654374.8332272215</v>
      </c>
      <c r="J5600" t="s">
        <v>3310</v>
      </c>
      <c r="K5600">
        <f t="shared" si="87"/>
        <v>636.55139418990416</v>
      </c>
    </row>
    <row r="5601" spans="1:11" x14ac:dyDescent="0.2">
      <c r="A5601" t="s">
        <v>220</v>
      </c>
      <c r="B5601" t="s">
        <v>17110</v>
      </c>
      <c r="C5601" t="s">
        <v>17124</v>
      </c>
      <c r="D5601" t="s">
        <v>17125</v>
      </c>
      <c r="E5601" t="s">
        <v>653</v>
      </c>
      <c r="F5601" t="s">
        <v>274</v>
      </c>
      <c r="G5601" t="s">
        <v>12</v>
      </c>
      <c r="H5601">
        <f>63688*(1.01^10)</f>
        <v>70351.173923188806</v>
      </c>
      <c r="I5601">
        <f>262518*(1.01^10)</f>
        <v>289983.19111869863</v>
      </c>
      <c r="J5601" t="s">
        <v>17102</v>
      </c>
      <c r="K5601">
        <f t="shared" si="87"/>
        <v>237.4964710226852</v>
      </c>
    </row>
    <row r="5602" spans="1:11" x14ac:dyDescent="0.2">
      <c r="A5602" t="s">
        <v>220</v>
      </c>
      <c r="B5602" t="s">
        <v>17110</v>
      </c>
      <c r="C5602" t="s">
        <v>17126</v>
      </c>
      <c r="D5602" t="s">
        <v>17127</v>
      </c>
      <c r="E5602" t="s">
        <v>933</v>
      </c>
      <c r="F5602" t="s">
        <v>158</v>
      </c>
      <c r="G5602" t="s">
        <v>12</v>
      </c>
      <c r="H5602">
        <f>55075*(1.01^10)</f>
        <v>60837.063557022098</v>
      </c>
      <c r="I5602">
        <f>222749*(1.01^10)</f>
        <v>246053.47381322045</v>
      </c>
      <c r="J5602" t="s">
        <v>1705</v>
      </c>
      <c r="K5602">
        <f t="shared" si="87"/>
        <v>313.84371659849546</v>
      </c>
    </row>
    <row r="5603" spans="1:11" x14ac:dyDescent="0.2">
      <c r="A5603" t="s">
        <v>220</v>
      </c>
      <c r="B5603" t="s">
        <v>17110</v>
      </c>
      <c r="C5603" t="s">
        <v>17128</v>
      </c>
      <c r="D5603" t="s">
        <v>17129</v>
      </c>
      <c r="E5603" t="s">
        <v>651</v>
      </c>
      <c r="F5603" t="s">
        <v>405</v>
      </c>
      <c r="G5603" t="s">
        <v>17</v>
      </c>
      <c r="H5603">
        <f>42101*(1.01^10)</f>
        <v>46505.69610193713</v>
      </c>
      <c r="I5603">
        <f>168994*(1.01^10)</f>
        <v>186674.51146174115</v>
      </c>
      <c r="J5603" t="s">
        <v>1717</v>
      </c>
      <c r="K5603">
        <f t="shared" si="87"/>
        <v>239.01986102655715</v>
      </c>
    </row>
    <row r="5604" spans="1:11" x14ac:dyDescent="0.2">
      <c r="A5604" t="s">
        <v>220</v>
      </c>
      <c r="B5604" t="s">
        <v>17110</v>
      </c>
      <c r="C5604" t="s">
        <v>17130</v>
      </c>
      <c r="D5604" t="s">
        <v>17131</v>
      </c>
      <c r="E5604" t="s">
        <v>3304</v>
      </c>
      <c r="F5604" t="s">
        <v>422</v>
      </c>
      <c r="G5604" t="s">
        <v>12</v>
      </c>
      <c r="H5604">
        <f>55559*(1.01^10)</f>
        <v>61371.700665721124</v>
      </c>
      <c r="I5604">
        <f>225783*(1.01^10)</f>
        <v>249404.89734171805</v>
      </c>
      <c r="J5604" t="s">
        <v>17132</v>
      </c>
      <c r="K5604">
        <f t="shared" si="87"/>
        <v>254.23536935954948</v>
      </c>
    </row>
    <row r="5605" spans="1:11" x14ac:dyDescent="0.2">
      <c r="A5605" t="s">
        <v>220</v>
      </c>
      <c r="B5605" t="s">
        <v>5700</v>
      </c>
      <c r="C5605" t="s">
        <v>17133</v>
      </c>
      <c r="D5605" t="s">
        <v>17134</v>
      </c>
      <c r="E5605" t="s">
        <v>811</v>
      </c>
      <c r="F5605" t="s">
        <v>405</v>
      </c>
      <c r="G5605" t="s">
        <v>92</v>
      </c>
      <c r="H5605">
        <f>138430*(1.01^10)</f>
        <v>152912.84082067307</v>
      </c>
      <c r="I5605">
        <f>352420*(1.01^10)</f>
        <v>389290.92943741678</v>
      </c>
      <c r="J5605" t="s">
        <v>1034</v>
      </c>
      <c r="K5605">
        <f t="shared" si="87"/>
        <v>801.01014287534315</v>
      </c>
    </row>
    <row r="5606" spans="1:11" x14ac:dyDescent="0.2">
      <c r="A5606" t="s">
        <v>220</v>
      </c>
      <c r="B5606" t="s">
        <v>5700</v>
      </c>
      <c r="C5606" t="s">
        <v>17135</v>
      </c>
      <c r="D5606" t="s">
        <v>17136</v>
      </c>
      <c r="E5606" t="s">
        <v>611</v>
      </c>
      <c r="F5606" t="s">
        <v>158</v>
      </c>
      <c r="G5606" t="s">
        <v>17</v>
      </c>
      <c r="H5606">
        <f>103802*(1.01^10)</f>
        <v>114661.98586193388</v>
      </c>
      <c r="I5606">
        <f>205274*(1.01^10)</f>
        <v>226750.20217165965</v>
      </c>
      <c r="J5606" t="s">
        <v>17137</v>
      </c>
      <c r="K5606">
        <f t="shared" si="87"/>
        <v>664.33318343976225</v>
      </c>
    </row>
    <row r="5607" spans="1:11" x14ac:dyDescent="0.2">
      <c r="A5607" t="s">
        <v>220</v>
      </c>
      <c r="B5607" t="s">
        <v>5700</v>
      </c>
      <c r="C5607" t="s">
        <v>17138</v>
      </c>
      <c r="D5607" t="s">
        <v>17139</v>
      </c>
      <c r="E5607" t="s">
        <v>3122</v>
      </c>
      <c r="F5607" t="s">
        <v>5</v>
      </c>
      <c r="G5607" t="s">
        <v>24</v>
      </c>
      <c r="H5607">
        <f>77245*(1.01^10)</f>
        <v>85326.536077388504</v>
      </c>
      <c r="I5607">
        <f>102607*(1.01^10)</f>
        <v>113341.96242206749</v>
      </c>
      <c r="J5607" t="s">
        <v>17140</v>
      </c>
      <c r="K5607">
        <f t="shared" si="87"/>
        <v>875.36270020133122</v>
      </c>
    </row>
    <row r="5608" spans="1:11" x14ac:dyDescent="0.2">
      <c r="A5608" t="s">
        <v>220</v>
      </c>
      <c r="B5608" t="s">
        <v>5700</v>
      </c>
      <c r="C5608" t="s">
        <v>17141</v>
      </c>
      <c r="D5608" t="s">
        <v>17142</v>
      </c>
      <c r="E5608" t="s">
        <v>667</v>
      </c>
      <c r="F5608" t="s">
        <v>158</v>
      </c>
      <c r="G5608" t="s">
        <v>152</v>
      </c>
      <c r="H5608">
        <f>183369*(1.01^10)</f>
        <v>202553.4545145272</v>
      </c>
      <c r="I5608">
        <f>517575*(1.01^10)</f>
        <v>571724.79655970435</v>
      </c>
      <c r="J5608" t="s">
        <v>13469</v>
      </c>
      <c r="K5608">
        <f t="shared" si="87"/>
        <v>1078.7260312447252</v>
      </c>
    </row>
    <row r="5609" spans="1:11" x14ac:dyDescent="0.2">
      <c r="A5609" t="s">
        <v>220</v>
      </c>
      <c r="B5609" t="s">
        <v>17143</v>
      </c>
      <c r="C5609" t="s">
        <v>17144</v>
      </c>
      <c r="D5609" t="s">
        <v>17145</v>
      </c>
      <c r="E5609" t="s">
        <v>1893</v>
      </c>
      <c r="F5609" t="s">
        <v>411</v>
      </c>
      <c r="G5609" t="s">
        <v>12</v>
      </c>
      <c r="H5609">
        <f>61035*(1.01^10)</f>
        <v>67420.611424472881</v>
      </c>
      <c r="I5609">
        <f>260479*(1.01^10)</f>
        <v>287730.8666049852</v>
      </c>
      <c r="J5609" t="s">
        <v>6117</v>
      </c>
      <c r="K5609">
        <f t="shared" si="87"/>
        <v>321.12819933592101</v>
      </c>
    </row>
    <row r="5610" spans="1:11" x14ac:dyDescent="0.2">
      <c r="A5610" t="s">
        <v>220</v>
      </c>
      <c r="B5610" t="s">
        <v>17143</v>
      </c>
      <c r="C5610" t="s">
        <v>17146</v>
      </c>
      <c r="D5610" t="s">
        <v>17147</v>
      </c>
      <c r="E5610" t="s">
        <v>373</v>
      </c>
      <c r="F5610" t="s">
        <v>796</v>
      </c>
      <c r="G5610" t="s">
        <v>12</v>
      </c>
      <c r="H5610">
        <f>44954*(1.01^10)</f>
        <v>49657.183025735299</v>
      </c>
      <c r="I5610">
        <f>187897*(1.01^10)</f>
        <v>207555.18349838915</v>
      </c>
      <c r="J5610" t="s">
        <v>6034</v>
      </c>
      <c r="K5610">
        <f t="shared" si="87"/>
        <v>200.7303515458309</v>
      </c>
    </row>
    <row r="5611" spans="1:11" x14ac:dyDescent="0.2">
      <c r="A5611" t="s">
        <v>220</v>
      </c>
      <c r="B5611" t="s">
        <v>17143</v>
      </c>
      <c r="C5611" t="s">
        <v>17148</v>
      </c>
      <c r="D5611" t="s">
        <v>17149</v>
      </c>
      <c r="E5611" t="s">
        <v>759</v>
      </c>
      <c r="F5611" t="s">
        <v>374</v>
      </c>
      <c r="G5611" t="s">
        <v>12</v>
      </c>
      <c r="H5611">
        <f>43262*(1.01^10)</f>
        <v>47788.162389539539</v>
      </c>
      <c r="I5611">
        <f>183352*(1.01^10)</f>
        <v>202534.6759383952</v>
      </c>
      <c r="J5611" t="s">
        <v>13418</v>
      </c>
      <c r="K5611">
        <f t="shared" si="87"/>
        <v>383.58840139847575</v>
      </c>
    </row>
    <row r="5612" spans="1:11" x14ac:dyDescent="0.2">
      <c r="A5612" t="s">
        <v>220</v>
      </c>
      <c r="B5612" t="s">
        <v>17143</v>
      </c>
      <c r="C5612" t="s">
        <v>17150</v>
      </c>
      <c r="D5612" t="s">
        <v>17151</v>
      </c>
      <c r="E5612" t="s">
        <v>2395</v>
      </c>
      <c r="F5612" t="s">
        <v>92</v>
      </c>
      <c r="G5612" t="s">
        <v>17</v>
      </c>
      <c r="H5612">
        <f>43402*(1.01^10)</f>
        <v>47942.809487097111</v>
      </c>
      <c r="I5612">
        <f>180191*(1.01^10)</f>
        <v>199042.96539997039</v>
      </c>
      <c r="J5612" t="s">
        <v>602</v>
      </c>
      <c r="K5612">
        <f t="shared" si="87"/>
        <v>540.8776233694847</v>
      </c>
    </row>
    <row r="5613" spans="1:11" x14ac:dyDescent="0.2">
      <c r="A5613" t="s">
        <v>220</v>
      </c>
      <c r="B5613" t="s">
        <v>17143</v>
      </c>
      <c r="C5613" t="s">
        <v>17152</v>
      </c>
      <c r="D5613" t="s">
        <v>17153</v>
      </c>
      <c r="E5613" t="s">
        <v>676</v>
      </c>
      <c r="F5613" t="s">
        <v>152</v>
      </c>
      <c r="G5613" t="s">
        <v>12</v>
      </c>
      <c r="H5613">
        <f>99024*(1.01^10)</f>
        <v>109384.10134671914</v>
      </c>
      <c r="I5613">
        <f>415153*(1.01^10)</f>
        <v>458587.18923083786</v>
      </c>
      <c r="J5613" t="s">
        <v>17154</v>
      </c>
      <c r="K5613">
        <f t="shared" si="87"/>
        <v>643.17978854254955</v>
      </c>
    </row>
    <row r="5614" spans="1:11" x14ac:dyDescent="0.2">
      <c r="A5614" t="s">
        <v>220</v>
      </c>
      <c r="B5614" t="s">
        <v>17143</v>
      </c>
      <c r="C5614" t="s">
        <v>17155</v>
      </c>
      <c r="D5614" t="s">
        <v>17156</v>
      </c>
      <c r="E5614" t="s">
        <v>453</v>
      </c>
      <c r="F5614" t="s">
        <v>6</v>
      </c>
      <c r="G5614" t="s">
        <v>17</v>
      </c>
      <c r="H5614">
        <f>71028*(1.01^10)</f>
        <v>78459.100323707054</v>
      </c>
      <c r="I5614">
        <f>295432*(1.01^10)</f>
        <v>326340.72375448304</v>
      </c>
      <c r="J5614" t="s">
        <v>1517</v>
      </c>
      <c r="K5614">
        <f t="shared" si="87"/>
        <v>531.49955008873462</v>
      </c>
    </row>
    <row r="5615" spans="1:11" x14ac:dyDescent="0.2">
      <c r="A5615" t="s">
        <v>220</v>
      </c>
      <c r="B5615" t="s">
        <v>17143</v>
      </c>
      <c r="C5615" t="s">
        <v>17157</v>
      </c>
      <c r="D5615" t="s">
        <v>17158</v>
      </c>
      <c r="E5615" t="s">
        <v>806</v>
      </c>
      <c r="F5615" t="s">
        <v>356</v>
      </c>
      <c r="G5615" t="s">
        <v>12</v>
      </c>
      <c r="H5615">
        <f>65920*(1.01^10)</f>
        <v>72816.690507106614</v>
      </c>
      <c r="I5615">
        <f>283265*(1.01^10)</f>
        <v>312900.78635460493</v>
      </c>
      <c r="J5615" t="s">
        <v>469</v>
      </c>
      <c r="K5615">
        <f t="shared" si="87"/>
        <v>386.77476681656975</v>
      </c>
    </row>
    <row r="5616" spans="1:11" x14ac:dyDescent="0.2">
      <c r="A5616" t="s">
        <v>220</v>
      </c>
      <c r="B5616" t="s">
        <v>5160</v>
      </c>
      <c r="C5616" t="s">
        <v>17159</v>
      </c>
      <c r="D5616" t="s">
        <v>17160</v>
      </c>
      <c r="E5616" t="s">
        <v>667</v>
      </c>
      <c r="F5616" t="s">
        <v>158</v>
      </c>
      <c r="G5616" t="s">
        <v>12</v>
      </c>
      <c r="H5616">
        <f>32142*(1.01^10)</f>
        <v>35504.764354966945</v>
      </c>
      <c r="I5616">
        <f>128633*(1.01^10)</f>
        <v>142090.8578580195</v>
      </c>
      <c r="J5616" t="s">
        <v>69</v>
      </c>
      <c r="K5616">
        <f t="shared" si="87"/>
        <v>138.35526568453702</v>
      </c>
    </row>
    <row r="5617" spans="1:11" x14ac:dyDescent="0.2">
      <c r="A5617" t="s">
        <v>220</v>
      </c>
      <c r="B5617" t="s">
        <v>5160</v>
      </c>
      <c r="C5617" t="s">
        <v>17161</v>
      </c>
      <c r="D5617" t="s">
        <v>17162</v>
      </c>
      <c r="E5617" t="s">
        <v>8486</v>
      </c>
      <c r="F5617" t="s">
        <v>313</v>
      </c>
      <c r="G5617" t="s">
        <v>12</v>
      </c>
      <c r="H5617">
        <f>45665*(1.01^10)</f>
        <v>50442.569356902663</v>
      </c>
      <c r="I5617">
        <f>184458*(1.01^10)</f>
        <v>203756.38800910002</v>
      </c>
      <c r="J5617" t="s">
        <v>16987</v>
      </c>
      <c r="K5617">
        <f t="shared" si="87"/>
        <v>241.13182012911244</v>
      </c>
    </row>
    <row r="5618" spans="1:11" x14ac:dyDescent="0.2">
      <c r="A5618" t="s">
        <v>220</v>
      </c>
      <c r="B5618" t="s">
        <v>5160</v>
      </c>
      <c r="C5618" t="s">
        <v>17163</v>
      </c>
      <c r="D5618" t="s">
        <v>17164</v>
      </c>
      <c r="E5618" t="s">
        <v>3356</v>
      </c>
      <c r="F5618" t="s">
        <v>77</v>
      </c>
      <c r="G5618" t="s">
        <v>12</v>
      </c>
      <c r="H5618">
        <f>75358*(1.01^10)</f>
        <v>83242.114126737564</v>
      </c>
      <c r="I5618">
        <f>315339*(1.01^10)</f>
        <v>348330.43640504387</v>
      </c>
      <c r="J5618" t="s">
        <v>17165</v>
      </c>
      <c r="K5618">
        <f t="shared" si="87"/>
        <v>275.36002877869083</v>
      </c>
    </row>
    <row r="5619" spans="1:11" x14ac:dyDescent="0.2">
      <c r="A5619" t="s">
        <v>220</v>
      </c>
      <c r="B5619" t="s">
        <v>5160</v>
      </c>
      <c r="C5619" t="s">
        <v>17166</v>
      </c>
      <c r="D5619" t="s">
        <v>17167</v>
      </c>
      <c r="E5619" t="s">
        <v>639</v>
      </c>
      <c r="F5619" t="s">
        <v>427</v>
      </c>
      <c r="G5619" t="s">
        <v>11</v>
      </c>
      <c r="H5619">
        <f>98290*(1.01^10)</f>
        <v>108573.30870666732</v>
      </c>
      <c r="I5619">
        <f>396166*(1.01^10)</f>
        <v>437613.72893565532</v>
      </c>
      <c r="J5619" t="s">
        <v>17168</v>
      </c>
      <c r="K5619">
        <f t="shared" si="87"/>
        <v>469.03936649052019</v>
      </c>
    </row>
    <row r="5620" spans="1:11" x14ac:dyDescent="0.2">
      <c r="A5620" t="s">
        <v>220</v>
      </c>
      <c r="B5620" t="s">
        <v>5160</v>
      </c>
      <c r="C5620" t="s">
        <v>17169</v>
      </c>
      <c r="D5620" t="s">
        <v>17170</v>
      </c>
      <c r="E5620" t="s">
        <v>2417</v>
      </c>
      <c r="F5620" t="s">
        <v>152</v>
      </c>
      <c r="G5620" t="s">
        <v>12</v>
      </c>
      <c r="H5620">
        <f>21089*(1.01^10)</f>
        <v>23295.376002796897</v>
      </c>
      <c r="I5620">
        <f>85255*(1.01^10)</f>
        <v>94174.559301932255</v>
      </c>
      <c r="J5620" t="s">
        <v>5282</v>
      </c>
      <c r="K5620">
        <f t="shared" si="87"/>
        <v>219.01060302774943</v>
      </c>
    </row>
    <row r="5621" spans="1:11" x14ac:dyDescent="0.2">
      <c r="A5621" t="s">
        <v>220</v>
      </c>
      <c r="B5621" t="s">
        <v>5160</v>
      </c>
      <c r="C5621" t="s">
        <v>17171</v>
      </c>
      <c r="D5621" t="s">
        <v>17172</v>
      </c>
      <c r="E5621" t="s">
        <v>1658</v>
      </c>
      <c r="F5621" t="s">
        <v>411</v>
      </c>
      <c r="G5621" t="s">
        <v>12</v>
      </c>
      <c r="H5621">
        <f>48729*(1.01^10)</f>
        <v>53827.131549162594</v>
      </c>
      <c r="I5621">
        <f>204585*(1.01^10)</f>
        <v>225989.11752725134</v>
      </c>
      <c r="J5621" t="s">
        <v>2988</v>
      </c>
      <c r="K5621">
        <f t="shared" si="87"/>
        <v>334.79869263296496</v>
      </c>
    </row>
    <row r="5622" spans="1:11" x14ac:dyDescent="0.2">
      <c r="A5622" t="s">
        <v>220</v>
      </c>
      <c r="B5622" t="s">
        <v>5160</v>
      </c>
      <c r="C5622" t="s">
        <v>17173</v>
      </c>
      <c r="D5622" t="s">
        <v>17174</v>
      </c>
      <c r="E5622" t="s">
        <v>738</v>
      </c>
      <c r="F5622" t="s">
        <v>142</v>
      </c>
      <c r="G5622" t="s">
        <v>12</v>
      </c>
      <c r="H5622">
        <f>42335*(1.01^10)</f>
        <v>46764.177679283355</v>
      </c>
      <c r="I5622">
        <f>182187*(1.01^10)</f>
        <v>201247.79116229116</v>
      </c>
      <c r="J5622" t="s">
        <v>1479</v>
      </c>
      <c r="K5622">
        <f t="shared" si="87"/>
        <v>338.23158178536329</v>
      </c>
    </row>
    <row r="5623" spans="1:11" x14ac:dyDescent="0.2">
      <c r="A5623" t="s">
        <v>220</v>
      </c>
      <c r="B5623" t="s">
        <v>5160</v>
      </c>
      <c r="C5623" t="s">
        <v>17175</v>
      </c>
      <c r="D5623" t="s">
        <v>17176</v>
      </c>
      <c r="E5623" t="s">
        <v>9192</v>
      </c>
      <c r="F5623" t="s">
        <v>744</v>
      </c>
      <c r="G5623" t="s">
        <v>17</v>
      </c>
      <c r="H5623">
        <f>69845*(1.01^10)</f>
        <v>77152.332349345597</v>
      </c>
      <c r="I5623">
        <f>279798*(1.01^10)</f>
        <v>309071.06144580425</v>
      </c>
      <c r="J5623" t="s">
        <v>5078</v>
      </c>
      <c r="K5623">
        <f t="shared" si="87"/>
        <v>296.04507801322245</v>
      </c>
    </row>
    <row r="5624" spans="1:11" x14ac:dyDescent="0.2">
      <c r="A5624" t="s">
        <v>220</v>
      </c>
      <c r="B5624" t="s">
        <v>3400</v>
      </c>
      <c r="C5624" t="s">
        <v>17177</v>
      </c>
      <c r="D5624" t="s">
        <v>17178</v>
      </c>
      <c r="E5624" t="s">
        <v>542</v>
      </c>
      <c r="F5624" t="s">
        <v>24</v>
      </c>
      <c r="G5624" t="s">
        <v>427</v>
      </c>
      <c r="H5624">
        <f>216300*(1.01^10)</f>
        <v>238929.76572644358</v>
      </c>
      <c r="I5624">
        <f>994602*(1.01^10)</f>
        <v>1098659.3751782351</v>
      </c>
      <c r="J5624" t="s">
        <v>17001</v>
      </c>
      <c r="K5624">
        <f t="shared" si="87"/>
        <v>1270.1264452927574</v>
      </c>
    </row>
    <row r="5625" spans="1:11" x14ac:dyDescent="0.2">
      <c r="A5625" t="s">
        <v>220</v>
      </c>
      <c r="B5625" t="s">
        <v>3400</v>
      </c>
      <c r="C5625" t="s">
        <v>17179</v>
      </c>
      <c r="D5625" t="s">
        <v>17180</v>
      </c>
      <c r="E5625" t="s">
        <v>777</v>
      </c>
      <c r="F5625" t="s">
        <v>24</v>
      </c>
      <c r="G5625" t="s">
        <v>405</v>
      </c>
      <c r="H5625">
        <f>76405*(1.01^10)</f>
        <v>84398.6534920431</v>
      </c>
      <c r="I5625">
        <f>395380*(1.01^10)</f>
        <v>436745.4959450821</v>
      </c>
      <c r="J5625" t="s">
        <v>229</v>
      </c>
      <c r="K5625">
        <f t="shared" si="87"/>
        <v>590.19661614200288</v>
      </c>
    </row>
    <row r="5626" spans="1:11" x14ac:dyDescent="0.2">
      <c r="A5626" t="s">
        <v>220</v>
      </c>
      <c r="B5626" t="s">
        <v>3400</v>
      </c>
      <c r="C5626" t="s">
        <v>17181</v>
      </c>
      <c r="D5626" t="s">
        <v>17182</v>
      </c>
      <c r="E5626" t="s">
        <v>1229</v>
      </c>
      <c r="F5626" t="s">
        <v>24</v>
      </c>
      <c r="G5626" t="s">
        <v>17</v>
      </c>
      <c r="H5626">
        <f>55385*(1.01^10)</f>
        <v>61179.496415899572</v>
      </c>
      <c r="I5626">
        <f>266589*(1.01^10)</f>
        <v>294480.10779124766</v>
      </c>
      <c r="J5626" t="s">
        <v>4372</v>
      </c>
      <c r="K5626">
        <f t="shared" si="87"/>
        <v>213.08256714272625</v>
      </c>
    </row>
    <row r="5627" spans="1:11" x14ac:dyDescent="0.2">
      <c r="A5627" t="s">
        <v>220</v>
      </c>
      <c r="B5627" t="s">
        <v>3400</v>
      </c>
      <c r="C5627" t="s">
        <v>17183</v>
      </c>
      <c r="D5627" t="s">
        <v>16794</v>
      </c>
      <c r="E5627" t="s">
        <v>232</v>
      </c>
      <c r="F5627" t="s">
        <v>24</v>
      </c>
      <c r="G5627" t="s">
        <v>17</v>
      </c>
      <c r="H5627">
        <f>59569*(1.01^10)</f>
        <v>65801.235388620058</v>
      </c>
      <c r="I5627">
        <f>287851*(1.01^10)</f>
        <v>317966.58342174068</v>
      </c>
      <c r="J5627" t="s">
        <v>69</v>
      </c>
      <c r="K5627">
        <f t="shared" si="87"/>
        <v>309.60718931036092</v>
      </c>
    </row>
    <row r="5628" spans="1:11" x14ac:dyDescent="0.2">
      <c r="A5628" t="s">
        <v>220</v>
      </c>
      <c r="B5628" t="s">
        <v>3400</v>
      </c>
      <c r="C5628" t="s">
        <v>17184</v>
      </c>
      <c r="D5628" t="s">
        <v>17185</v>
      </c>
      <c r="E5628" t="s">
        <v>829</v>
      </c>
      <c r="F5628" t="s">
        <v>24</v>
      </c>
      <c r="G5628" t="s">
        <v>12</v>
      </c>
      <c r="H5628">
        <f>32074*(1.01^10)</f>
        <v>35429.650050438984</v>
      </c>
      <c r="I5628">
        <f>145227*(1.01^10)</f>
        <v>160420.95740709302</v>
      </c>
      <c r="J5628" t="s">
        <v>17186</v>
      </c>
      <c r="K5628">
        <f t="shared" si="87"/>
        <v>189.39900520317948</v>
      </c>
    </row>
    <row r="5629" spans="1:11" x14ac:dyDescent="0.2">
      <c r="A5629" t="s">
        <v>220</v>
      </c>
      <c r="B5629" t="s">
        <v>2468</v>
      </c>
      <c r="C5629" t="s">
        <v>17187</v>
      </c>
      <c r="D5629" t="s">
        <v>17188</v>
      </c>
      <c r="E5629" t="s">
        <v>998</v>
      </c>
      <c r="F5629" t="s">
        <v>24</v>
      </c>
      <c r="G5629" t="s">
        <v>12</v>
      </c>
      <c r="H5629">
        <f>36709*(1.01^10)</f>
        <v>40549.573601719916</v>
      </c>
      <c r="I5629">
        <f>146583*(1.01^10)</f>
        <v>161918.82500915063</v>
      </c>
      <c r="J5629" t="s">
        <v>17189</v>
      </c>
      <c r="K5629">
        <f t="shared" si="87"/>
        <v>112.054550179343</v>
      </c>
    </row>
    <row r="5630" spans="1:11" x14ac:dyDescent="0.2">
      <c r="A5630" t="s">
        <v>220</v>
      </c>
      <c r="B5630" t="s">
        <v>2468</v>
      </c>
      <c r="C5630" t="s">
        <v>17190</v>
      </c>
      <c r="D5630" t="s">
        <v>17191</v>
      </c>
      <c r="E5630" t="s">
        <v>1576</v>
      </c>
      <c r="F5630" t="s">
        <v>92</v>
      </c>
      <c r="G5630" t="s">
        <v>17</v>
      </c>
      <c r="H5630">
        <f>53094*(1.01^10)</f>
        <v>58648.807126582506</v>
      </c>
      <c r="I5630">
        <f>206505*(1.01^10)</f>
        <v>228109.99200804083</v>
      </c>
      <c r="J5630" t="s">
        <v>1609</v>
      </c>
      <c r="K5630">
        <f t="shared" si="87"/>
        <v>227.42770888139665</v>
      </c>
    </row>
    <row r="5631" spans="1:11" x14ac:dyDescent="0.2">
      <c r="A5631" t="s">
        <v>220</v>
      </c>
      <c r="B5631" t="s">
        <v>2468</v>
      </c>
      <c r="C5631" t="s">
        <v>17192</v>
      </c>
      <c r="D5631" t="s">
        <v>17193</v>
      </c>
      <c r="E5631" t="s">
        <v>172</v>
      </c>
      <c r="F5631" t="s">
        <v>24</v>
      </c>
      <c r="G5631" t="s">
        <v>17</v>
      </c>
      <c r="H5631">
        <f>52913*(1.01^10)</f>
        <v>58448.87052188308</v>
      </c>
      <c r="I5631">
        <f>201431*(1.01^10)</f>
        <v>222505.13934370439</v>
      </c>
      <c r="J5631" t="s">
        <v>17194</v>
      </c>
      <c r="K5631">
        <f t="shared" si="87"/>
        <v>134.52547723319492</v>
      </c>
    </row>
    <row r="5632" spans="1:11" x14ac:dyDescent="0.2">
      <c r="A5632" t="s">
        <v>220</v>
      </c>
      <c r="B5632" t="s">
        <v>1679</v>
      </c>
      <c r="C5632" t="s">
        <v>17195</v>
      </c>
      <c r="D5632" t="s">
        <v>17196</v>
      </c>
      <c r="E5632" t="s">
        <v>10</v>
      </c>
      <c r="F5632" t="s">
        <v>6</v>
      </c>
      <c r="G5632" t="s">
        <v>12</v>
      </c>
      <c r="H5632">
        <f>54075*(1.01^10)</f>
        <v>59732.441431610896</v>
      </c>
      <c r="I5632">
        <f>243076*(1.01^10)</f>
        <v>268507.12775645399</v>
      </c>
      <c r="J5632" t="s">
        <v>5422</v>
      </c>
      <c r="K5632">
        <f t="shared" si="87"/>
        <v>330.67380265573149</v>
      </c>
    </row>
    <row r="5633" spans="1:11" x14ac:dyDescent="0.2">
      <c r="A5633" t="s">
        <v>220</v>
      </c>
      <c r="B5633" t="s">
        <v>1679</v>
      </c>
      <c r="C5633" t="s">
        <v>17197</v>
      </c>
      <c r="D5633" t="s">
        <v>17198</v>
      </c>
      <c r="E5633" t="s">
        <v>444</v>
      </c>
      <c r="F5633" t="s">
        <v>445</v>
      </c>
      <c r="G5633" t="s">
        <v>12</v>
      </c>
      <c r="H5633">
        <f>65584*(1.01^10)</f>
        <v>72445.537472968455</v>
      </c>
      <c r="I5633">
        <f>282963*(1.01^10)</f>
        <v>312567.19047273073</v>
      </c>
      <c r="J5633" t="s">
        <v>5647</v>
      </c>
      <c r="K5633">
        <f t="shared" si="87"/>
        <v>348.07036800972242</v>
      </c>
    </row>
    <row r="5634" spans="1:11" x14ac:dyDescent="0.2">
      <c r="A5634" t="s">
        <v>220</v>
      </c>
      <c r="B5634" t="s">
        <v>1679</v>
      </c>
      <c r="C5634" t="s">
        <v>17199</v>
      </c>
      <c r="D5634" t="s">
        <v>17200</v>
      </c>
      <c r="E5634" t="s">
        <v>2400</v>
      </c>
      <c r="F5634" t="s">
        <v>77</v>
      </c>
      <c r="G5634" t="s">
        <v>12</v>
      </c>
      <c r="H5634">
        <f>60590*(1.01^10)</f>
        <v>66929.054578664902</v>
      </c>
      <c r="I5634">
        <f>252657*(1.01^10)</f>
        <v>279090.51234001876</v>
      </c>
      <c r="J5634" t="s">
        <v>17201</v>
      </c>
      <c r="K5634">
        <f t="shared" si="87"/>
        <v>459.03044792766241</v>
      </c>
    </row>
    <row r="5635" spans="1:11" x14ac:dyDescent="0.2">
      <c r="A5635" t="s">
        <v>220</v>
      </c>
      <c r="B5635" t="s">
        <v>1679</v>
      </c>
      <c r="C5635" t="s">
        <v>17202</v>
      </c>
      <c r="D5635" t="s">
        <v>17203</v>
      </c>
      <c r="E5635" t="s">
        <v>404</v>
      </c>
      <c r="F5635" t="s">
        <v>411</v>
      </c>
      <c r="G5635" t="s">
        <v>744</v>
      </c>
      <c r="H5635">
        <f>299853*(1.01^10)</f>
        <v>331224.25817092595</v>
      </c>
      <c r="I5635">
        <f>1281768*(1.01^10)</f>
        <v>1415869.2924440692</v>
      </c>
      <c r="J5635" t="s">
        <v>5030</v>
      </c>
      <c r="K5635">
        <f t="shared" ref="K5635:K5698" si="88">I5635/J5635</f>
        <v>1776.4984848733616</v>
      </c>
    </row>
    <row r="5636" spans="1:11" x14ac:dyDescent="0.2">
      <c r="A5636" t="s">
        <v>220</v>
      </c>
      <c r="B5636" t="s">
        <v>1679</v>
      </c>
      <c r="C5636" t="s">
        <v>17204</v>
      </c>
      <c r="D5636" t="s">
        <v>17205</v>
      </c>
      <c r="E5636" t="s">
        <v>416</v>
      </c>
      <c r="F5636" t="s">
        <v>829</v>
      </c>
      <c r="G5636" t="s">
        <v>17</v>
      </c>
      <c r="H5636">
        <f>61469*(1.01^10)</f>
        <v>67900.017426901351</v>
      </c>
      <c r="I5636">
        <f>263706*(1.01^10)</f>
        <v>291295.48220368713</v>
      </c>
      <c r="J5636" t="s">
        <v>17206</v>
      </c>
      <c r="K5636">
        <f t="shared" si="88"/>
        <v>180.03429060796486</v>
      </c>
    </row>
    <row r="5637" spans="1:11" x14ac:dyDescent="0.2">
      <c r="A5637" t="s">
        <v>220</v>
      </c>
      <c r="B5637" t="s">
        <v>1679</v>
      </c>
      <c r="C5637" t="s">
        <v>17207</v>
      </c>
      <c r="D5637" t="s">
        <v>17208</v>
      </c>
      <c r="E5637" t="s">
        <v>982</v>
      </c>
      <c r="F5637" t="s">
        <v>422</v>
      </c>
      <c r="G5637" t="s">
        <v>12</v>
      </c>
      <c r="H5637">
        <f>90864*(1.01^10)</f>
        <v>100370.3848033637</v>
      </c>
      <c r="I5637">
        <f>384922*(1.01^10)</f>
        <v>425193.35775753175</v>
      </c>
      <c r="J5637" t="s">
        <v>3744</v>
      </c>
      <c r="K5637">
        <f t="shared" si="88"/>
        <v>436.54348845742481</v>
      </c>
    </row>
    <row r="5638" spans="1:11" x14ac:dyDescent="0.2">
      <c r="A5638" t="s">
        <v>220</v>
      </c>
      <c r="B5638" t="s">
        <v>1679</v>
      </c>
      <c r="C5638" t="s">
        <v>17209</v>
      </c>
      <c r="D5638" t="s">
        <v>17210</v>
      </c>
      <c r="E5638" t="s">
        <v>2283</v>
      </c>
      <c r="F5638" t="s">
        <v>405</v>
      </c>
      <c r="G5638" t="s">
        <v>5</v>
      </c>
      <c r="H5638">
        <f>68533*(1.01^10)</f>
        <v>75703.0681208061</v>
      </c>
      <c r="I5638">
        <f>292035*(1.01^10)</f>
        <v>322588.3223944612</v>
      </c>
      <c r="J5638" t="s">
        <v>3085</v>
      </c>
      <c r="K5638">
        <f t="shared" si="88"/>
        <v>537.64720399076862</v>
      </c>
    </row>
    <row r="5639" spans="1:11" x14ac:dyDescent="0.2">
      <c r="A5639" t="s">
        <v>220</v>
      </c>
      <c r="B5639" t="s">
        <v>662</v>
      </c>
      <c r="C5639" t="s">
        <v>17211</v>
      </c>
      <c r="D5639" t="s">
        <v>17212</v>
      </c>
      <c r="E5639" t="s">
        <v>1233</v>
      </c>
      <c r="F5639" t="s">
        <v>796</v>
      </c>
      <c r="G5639" t="s">
        <v>12</v>
      </c>
      <c r="H5639">
        <f>54615*(1.01^10)</f>
        <v>60328.937379332951</v>
      </c>
      <c r="I5639">
        <f>223070*(1.01^10)</f>
        <v>246408.05751547744</v>
      </c>
      <c r="J5639" t="s">
        <v>17213</v>
      </c>
      <c r="K5639">
        <f t="shared" si="88"/>
        <v>179.59770955938589</v>
      </c>
    </row>
    <row r="5640" spans="1:11" x14ac:dyDescent="0.2">
      <c r="A5640" t="s">
        <v>220</v>
      </c>
      <c r="B5640" t="s">
        <v>662</v>
      </c>
      <c r="C5640" t="s">
        <v>17214</v>
      </c>
      <c r="D5640" t="s">
        <v>17215</v>
      </c>
      <c r="E5640" t="s">
        <v>584</v>
      </c>
      <c r="F5640" t="s">
        <v>92</v>
      </c>
      <c r="G5640" t="s">
        <v>12</v>
      </c>
      <c r="H5640">
        <f>86679*(1.01^10)</f>
        <v>95747.54120851781</v>
      </c>
      <c r="I5640">
        <f>357799*(1.01^10)</f>
        <v>395232.69185000367</v>
      </c>
      <c r="J5640" t="s">
        <v>5793</v>
      </c>
      <c r="K5640">
        <f t="shared" si="88"/>
        <v>323.96122282787184</v>
      </c>
    </row>
    <row r="5641" spans="1:11" x14ac:dyDescent="0.2">
      <c r="A5641" t="s">
        <v>220</v>
      </c>
      <c r="B5641" t="s">
        <v>662</v>
      </c>
      <c r="C5641" t="s">
        <v>17216</v>
      </c>
      <c r="D5641" t="s">
        <v>17217</v>
      </c>
      <c r="E5641" t="s">
        <v>56</v>
      </c>
      <c r="F5641" t="s">
        <v>24</v>
      </c>
      <c r="G5641" t="s">
        <v>12</v>
      </c>
      <c r="H5641">
        <f>18895*(1.01^10)</f>
        <v>20871.835059644713</v>
      </c>
      <c r="I5641">
        <f>82069*(1.01^10)</f>
        <v>90655.233210372156</v>
      </c>
      <c r="J5641" t="s">
        <v>754</v>
      </c>
      <c r="K5641">
        <f t="shared" si="88"/>
        <v>339.53270865307923</v>
      </c>
    </row>
    <row r="5642" spans="1:11" x14ac:dyDescent="0.2">
      <c r="A5642" t="s">
        <v>220</v>
      </c>
      <c r="B5642" t="s">
        <v>662</v>
      </c>
      <c r="C5642" t="s">
        <v>17218</v>
      </c>
      <c r="D5642" t="s">
        <v>17219</v>
      </c>
      <c r="E5642" t="s">
        <v>879</v>
      </c>
      <c r="F5642" t="s">
        <v>1580</v>
      </c>
      <c r="G5642" t="s">
        <v>17</v>
      </c>
      <c r="H5642">
        <f>84685*(1.01^10)</f>
        <v>93544.924690447879</v>
      </c>
      <c r="I5642">
        <f>357853*(1.01^10)</f>
        <v>395292.34144477587</v>
      </c>
      <c r="J5642" t="s">
        <v>17220</v>
      </c>
      <c r="K5642">
        <f t="shared" si="88"/>
        <v>141.73264304222872</v>
      </c>
    </row>
    <row r="5643" spans="1:11" x14ac:dyDescent="0.2">
      <c r="A5643" t="s">
        <v>220</v>
      </c>
      <c r="B5643" t="s">
        <v>1613</v>
      </c>
      <c r="C5643" t="s">
        <v>17221</v>
      </c>
      <c r="D5643" t="s">
        <v>17222</v>
      </c>
      <c r="E5643" t="s">
        <v>58</v>
      </c>
      <c r="F5643" t="s">
        <v>17</v>
      </c>
      <c r="G5643" t="s">
        <v>12</v>
      </c>
      <c r="H5643">
        <f>61568*(1.01^10)</f>
        <v>68009.375017317056</v>
      </c>
      <c r="I5643">
        <f>342207*(1.01^10)</f>
        <v>378009.42367059214</v>
      </c>
      <c r="J5643" t="s">
        <v>17223</v>
      </c>
      <c r="K5643">
        <f t="shared" si="88"/>
        <v>216.62431155907859</v>
      </c>
    </row>
    <row r="5644" spans="1:11" x14ac:dyDescent="0.2">
      <c r="A5644" t="s">
        <v>220</v>
      </c>
      <c r="B5644" t="s">
        <v>1613</v>
      </c>
      <c r="C5644" t="s">
        <v>17224</v>
      </c>
      <c r="D5644" t="s">
        <v>17225</v>
      </c>
      <c r="E5644" t="s">
        <v>1060</v>
      </c>
      <c r="F5644" t="s">
        <v>17</v>
      </c>
      <c r="G5644" t="s">
        <v>12</v>
      </c>
      <c r="H5644">
        <f>39866*(1.01^10)</f>
        <v>44036.865651643086</v>
      </c>
      <c r="I5644">
        <f>220339*(1.01^10)</f>
        <v>243391.33449097944</v>
      </c>
      <c r="J5644" t="s">
        <v>17226</v>
      </c>
      <c r="K5644">
        <f t="shared" si="88"/>
        <v>186.22137298468206</v>
      </c>
    </row>
    <row r="5645" spans="1:11" x14ac:dyDescent="0.2">
      <c r="A5645" t="s">
        <v>220</v>
      </c>
      <c r="B5645" t="s">
        <v>1613</v>
      </c>
      <c r="C5645" t="s">
        <v>17227</v>
      </c>
      <c r="D5645" t="s">
        <v>17228</v>
      </c>
      <c r="E5645" t="s">
        <v>1049</v>
      </c>
      <c r="F5645" t="s">
        <v>92</v>
      </c>
      <c r="G5645" t="s">
        <v>12</v>
      </c>
      <c r="H5645">
        <f>154305*(1.01^10)</f>
        <v>170448.71706157594</v>
      </c>
      <c r="I5645">
        <f>829830*(1.01^10)</f>
        <v>916648.57832998002</v>
      </c>
      <c r="J5645" t="s">
        <v>2686</v>
      </c>
      <c r="K5645">
        <f t="shared" si="88"/>
        <v>526.50693758183809</v>
      </c>
    </row>
    <row r="5646" spans="1:11" x14ac:dyDescent="0.2">
      <c r="A5646" t="s">
        <v>220</v>
      </c>
      <c r="B5646" t="s">
        <v>1613</v>
      </c>
      <c r="C5646" t="s">
        <v>17229</v>
      </c>
      <c r="D5646" t="s">
        <v>17230</v>
      </c>
      <c r="E5646" t="s">
        <v>58</v>
      </c>
      <c r="F5646" t="s">
        <v>318</v>
      </c>
      <c r="G5646" t="s">
        <v>12</v>
      </c>
      <c r="H5646">
        <f>48431*(1.01^10)</f>
        <v>53497.954155790059</v>
      </c>
      <c r="I5646">
        <f>254287*(1.01^10)</f>
        <v>280891.04640443902</v>
      </c>
      <c r="J5646" t="s">
        <v>17231</v>
      </c>
      <c r="K5646">
        <f t="shared" si="88"/>
        <v>181.22002993834775</v>
      </c>
    </row>
    <row r="5647" spans="1:11" x14ac:dyDescent="0.2">
      <c r="A5647" t="s">
        <v>220</v>
      </c>
      <c r="B5647" t="s">
        <v>1613</v>
      </c>
      <c r="C5647" t="s">
        <v>17232</v>
      </c>
      <c r="D5647" t="s">
        <v>17233</v>
      </c>
      <c r="E5647" t="s">
        <v>626</v>
      </c>
      <c r="F5647" t="s">
        <v>152</v>
      </c>
      <c r="G5647" t="s">
        <v>17</v>
      </c>
      <c r="H5647">
        <f>42384*(1.01^10)</f>
        <v>46818.304163428504</v>
      </c>
      <c r="I5647">
        <f>218572*(1.01^10)</f>
        <v>241439.46719537783</v>
      </c>
      <c r="J5647" t="s">
        <v>17234</v>
      </c>
      <c r="K5647">
        <f t="shared" si="88"/>
        <v>236.47352320800962</v>
      </c>
    </row>
    <row r="5648" spans="1:11" x14ac:dyDescent="0.2">
      <c r="A5648" t="s">
        <v>220</v>
      </c>
      <c r="B5648" t="s">
        <v>1613</v>
      </c>
      <c r="C5648" t="s">
        <v>17235</v>
      </c>
      <c r="D5648" t="s">
        <v>17236</v>
      </c>
      <c r="E5648" t="s">
        <v>479</v>
      </c>
      <c r="F5648" t="s">
        <v>11</v>
      </c>
      <c r="G5648" t="s">
        <v>5</v>
      </c>
      <c r="H5648">
        <f>73171*(1.01^10)</f>
        <v>80826.305538463261</v>
      </c>
      <c r="I5648">
        <f>404188*(1.01^10)</f>
        <v>446475.00762570405</v>
      </c>
      <c r="J5648" t="s">
        <v>17237</v>
      </c>
      <c r="K5648">
        <f t="shared" si="88"/>
        <v>255.12857578611661</v>
      </c>
    </row>
    <row r="5649" spans="1:11" x14ac:dyDescent="0.2">
      <c r="A5649" t="s">
        <v>220</v>
      </c>
      <c r="B5649" t="s">
        <v>1613</v>
      </c>
      <c r="C5649" t="s">
        <v>17238</v>
      </c>
      <c r="D5649" t="s">
        <v>17239</v>
      </c>
      <c r="E5649" t="s">
        <v>568</v>
      </c>
      <c r="F5649" t="s">
        <v>458</v>
      </c>
      <c r="G5649" t="s">
        <v>12</v>
      </c>
      <c r="H5649">
        <f>51876*(1.01^10)</f>
        <v>57303.377377831661</v>
      </c>
      <c r="I5649">
        <f>296903*(1.01^10)</f>
        <v>327965.62290096295</v>
      </c>
      <c r="J5649" t="s">
        <v>5221</v>
      </c>
      <c r="K5649">
        <f t="shared" si="88"/>
        <v>178.242186359219</v>
      </c>
    </row>
    <row r="5650" spans="1:11" x14ac:dyDescent="0.2">
      <c r="A5650" t="s">
        <v>220</v>
      </c>
      <c r="B5650" t="s">
        <v>2175</v>
      </c>
      <c r="C5650" t="s">
        <v>17240</v>
      </c>
      <c r="D5650" t="s">
        <v>17241</v>
      </c>
      <c r="E5650" t="s">
        <v>133</v>
      </c>
      <c r="F5650" t="s">
        <v>152</v>
      </c>
      <c r="G5650" t="s">
        <v>12</v>
      </c>
      <c r="H5650">
        <f>71486*(1.01^10)</f>
        <v>78965.017257145388</v>
      </c>
      <c r="I5650">
        <f>412291*(1.01^10)</f>
        <v>455425.76070791099</v>
      </c>
      <c r="J5650" t="s">
        <v>5221</v>
      </c>
      <c r="K5650">
        <f t="shared" si="88"/>
        <v>247.51400038473423</v>
      </c>
    </row>
    <row r="5651" spans="1:11" x14ac:dyDescent="0.2">
      <c r="A5651" t="s">
        <v>220</v>
      </c>
      <c r="B5651" t="s">
        <v>2175</v>
      </c>
      <c r="C5651" t="s">
        <v>17242</v>
      </c>
      <c r="D5651" t="s">
        <v>452</v>
      </c>
      <c r="E5651" t="s">
        <v>703</v>
      </c>
      <c r="F5651" t="s">
        <v>6</v>
      </c>
      <c r="G5651" t="s">
        <v>11</v>
      </c>
      <c r="H5651">
        <f>61945*(1.01^10)</f>
        <v>68425.817558597075</v>
      </c>
      <c r="I5651">
        <f>363621*(1.01^10)</f>
        <v>401663.80186414771</v>
      </c>
      <c r="J5651" t="s">
        <v>17243</v>
      </c>
      <c r="K5651">
        <f t="shared" si="88"/>
        <v>235.44185337875012</v>
      </c>
    </row>
    <row r="5652" spans="1:11" x14ac:dyDescent="0.2">
      <c r="A5652" t="s">
        <v>220</v>
      </c>
      <c r="B5652" t="s">
        <v>2175</v>
      </c>
      <c r="C5652" t="s">
        <v>17244</v>
      </c>
      <c r="D5652" t="s">
        <v>17245</v>
      </c>
      <c r="E5652" t="s">
        <v>453</v>
      </c>
      <c r="F5652" t="s">
        <v>108</v>
      </c>
      <c r="G5652" t="s">
        <v>11</v>
      </c>
      <c r="H5652">
        <f>68632*(1.01^10)</f>
        <v>75812.425711221804</v>
      </c>
      <c r="I5652">
        <f>398359*(1.01^10)</f>
        <v>440036.16525668208</v>
      </c>
      <c r="J5652" t="s">
        <v>4230</v>
      </c>
      <c r="K5652">
        <f t="shared" si="88"/>
        <v>255.24139516048845</v>
      </c>
    </row>
    <row r="5653" spans="1:11" x14ac:dyDescent="0.2">
      <c r="A5653" t="s">
        <v>220</v>
      </c>
      <c r="B5653" t="s">
        <v>5211</v>
      </c>
      <c r="C5653" t="s">
        <v>17246</v>
      </c>
      <c r="D5653" t="s">
        <v>17247</v>
      </c>
      <c r="E5653" t="s">
        <v>401</v>
      </c>
      <c r="F5653" t="s">
        <v>3122</v>
      </c>
      <c r="G5653" t="s">
        <v>12</v>
      </c>
      <c r="H5653">
        <f>43414*(1.01^10)</f>
        <v>47956.064952602042</v>
      </c>
      <c r="I5653">
        <f>202304*(1.01^10)</f>
        <v>223469.47445918838</v>
      </c>
      <c r="J5653" t="s">
        <v>5542</v>
      </c>
      <c r="K5653">
        <f t="shared" si="88"/>
        <v>258.94492984842225</v>
      </c>
    </row>
    <row r="5654" spans="1:11" x14ac:dyDescent="0.2">
      <c r="A5654" t="s">
        <v>220</v>
      </c>
      <c r="B5654" t="s">
        <v>5211</v>
      </c>
      <c r="C5654" t="s">
        <v>17248</v>
      </c>
      <c r="D5654" t="s">
        <v>17249</v>
      </c>
      <c r="E5654" t="s">
        <v>653</v>
      </c>
      <c r="F5654" t="s">
        <v>374</v>
      </c>
      <c r="G5654" t="s">
        <v>12</v>
      </c>
      <c r="H5654">
        <f>83136*(1.01^10)</f>
        <v>91833.865018185912</v>
      </c>
      <c r="I5654">
        <f>385410*(1.01^10)</f>
        <v>425732.41335473245</v>
      </c>
      <c r="J5654" t="s">
        <v>3711</v>
      </c>
      <c r="K5654">
        <f t="shared" si="88"/>
        <v>537.54092595294503</v>
      </c>
    </row>
    <row r="5655" spans="1:11" x14ac:dyDescent="0.2">
      <c r="A5655" t="s">
        <v>220</v>
      </c>
      <c r="B5655" t="s">
        <v>5211</v>
      </c>
      <c r="C5655" t="s">
        <v>17250</v>
      </c>
      <c r="D5655" t="s">
        <v>17251</v>
      </c>
      <c r="E5655" t="s">
        <v>6857</v>
      </c>
      <c r="F5655" t="s">
        <v>23</v>
      </c>
      <c r="G5655" t="s">
        <v>12</v>
      </c>
      <c r="H5655">
        <f>52443*(1.01^10)</f>
        <v>57929.698122939808</v>
      </c>
      <c r="I5655">
        <f>236920*(1.01^10)</f>
        <v>261707.07395242262</v>
      </c>
      <c r="J5655" t="s">
        <v>3988</v>
      </c>
      <c r="K5655">
        <f t="shared" si="88"/>
        <v>407.00944627126381</v>
      </c>
    </row>
    <row r="5656" spans="1:11" x14ac:dyDescent="0.2">
      <c r="A5656" t="s">
        <v>220</v>
      </c>
      <c r="B5656" t="s">
        <v>5211</v>
      </c>
      <c r="C5656" t="s">
        <v>17252</v>
      </c>
      <c r="D5656" t="s">
        <v>17253</v>
      </c>
      <c r="E5656" t="s">
        <v>8486</v>
      </c>
      <c r="F5656" t="s">
        <v>427</v>
      </c>
      <c r="G5656" t="s">
        <v>11</v>
      </c>
      <c r="H5656">
        <f>99691*(1.01^10)</f>
        <v>110120.88430436842</v>
      </c>
      <c r="I5656">
        <f>452832*(1.01^10)</f>
        <v>500208.24629420665</v>
      </c>
      <c r="J5656" t="s">
        <v>19</v>
      </c>
      <c r="K5656">
        <f t="shared" si="88"/>
        <v>581.63749569093795</v>
      </c>
    </row>
    <row r="5657" spans="1:11" x14ac:dyDescent="0.2">
      <c r="A5657" t="s">
        <v>220</v>
      </c>
      <c r="B5657" t="s">
        <v>5211</v>
      </c>
      <c r="C5657" t="s">
        <v>17254</v>
      </c>
      <c r="D5657" t="s">
        <v>17255</v>
      </c>
      <c r="E5657" t="s">
        <v>657</v>
      </c>
      <c r="F5657" t="s">
        <v>56</v>
      </c>
      <c r="G5657" t="s">
        <v>12</v>
      </c>
      <c r="H5657">
        <f>54664*(1.01^10)</f>
        <v>60383.063863478099</v>
      </c>
      <c r="I5657">
        <f>258935*(1.01^10)</f>
        <v>286025.33004335029</v>
      </c>
      <c r="J5657" t="s">
        <v>3802</v>
      </c>
      <c r="K5657">
        <f t="shared" si="88"/>
        <v>348.38651649616355</v>
      </c>
    </row>
    <row r="5658" spans="1:11" x14ac:dyDescent="0.2">
      <c r="A5658" t="s">
        <v>220</v>
      </c>
      <c r="B5658" t="s">
        <v>3261</v>
      </c>
      <c r="C5658" t="s">
        <v>17256</v>
      </c>
      <c r="D5658" t="s">
        <v>17257</v>
      </c>
      <c r="E5658" t="s">
        <v>848</v>
      </c>
      <c r="F5658" t="s">
        <v>356</v>
      </c>
      <c r="G5658" t="s">
        <v>17</v>
      </c>
      <c r="H5658">
        <f>68834*(1.01^10)</f>
        <v>76035.559380554871</v>
      </c>
      <c r="I5658">
        <f>290999*(1.01^10)</f>
        <v>321443.93387253518</v>
      </c>
      <c r="J5658" t="s">
        <v>1468</v>
      </c>
      <c r="K5658">
        <f t="shared" si="88"/>
        <v>361.5792282030767</v>
      </c>
    </row>
    <row r="5659" spans="1:11" x14ac:dyDescent="0.2">
      <c r="A5659" t="s">
        <v>220</v>
      </c>
      <c r="B5659" t="s">
        <v>3261</v>
      </c>
      <c r="C5659" t="s">
        <v>17258</v>
      </c>
      <c r="D5659" t="s">
        <v>17259</v>
      </c>
      <c r="E5659" t="s">
        <v>301</v>
      </c>
      <c r="F5659" t="s">
        <v>220</v>
      </c>
      <c r="G5659" t="s">
        <v>12</v>
      </c>
      <c r="H5659">
        <f>47214*(1.01^10)</f>
        <v>52153.629029164622</v>
      </c>
      <c r="I5659">
        <f>212536*(1.01^10)</f>
        <v>234771.96804639581</v>
      </c>
      <c r="J5659" t="s">
        <v>17260</v>
      </c>
      <c r="K5659">
        <f t="shared" si="88"/>
        <v>367.98114113855144</v>
      </c>
    </row>
    <row r="5660" spans="1:11" x14ac:dyDescent="0.2">
      <c r="A5660" t="s">
        <v>220</v>
      </c>
      <c r="B5660" t="s">
        <v>3261</v>
      </c>
      <c r="C5660" t="s">
        <v>17261</v>
      </c>
      <c r="D5660" t="s">
        <v>17262</v>
      </c>
      <c r="E5660" t="s">
        <v>484</v>
      </c>
      <c r="F5660" t="s">
        <v>356</v>
      </c>
      <c r="G5660" t="s">
        <v>12</v>
      </c>
      <c r="H5660">
        <f>12978*(1.01^10)</f>
        <v>14335.785943586616</v>
      </c>
      <c r="I5660">
        <f>55832*(1.01^10)</f>
        <v>61673.262505958381</v>
      </c>
      <c r="J5660" t="s">
        <v>698</v>
      </c>
      <c r="K5660">
        <f t="shared" si="88"/>
        <v>271.68838108351707</v>
      </c>
    </row>
    <row r="5661" spans="1:11" x14ac:dyDescent="0.2">
      <c r="A5661" t="s">
        <v>220</v>
      </c>
      <c r="B5661" t="s">
        <v>3261</v>
      </c>
      <c r="C5661" t="s">
        <v>17263</v>
      </c>
      <c r="D5661" t="s">
        <v>17264</v>
      </c>
      <c r="E5661" t="s">
        <v>738</v>
      </c>
      <c r="F5661" t="s">
        <v>411</v>
      </c>
      <c r="G5661" t="s">
        <v>17</v>
      </c>
      <c r="H5661">
        <f>44221*(1.01^10)</f>
        <v>48847.495007808888</v>
      </c>
      <c r="I5661">
        <f>183498*(1.01^10)</f>
        <v>202695.95076870525</v>
      </c>
      <c r="J5661" t="s">
        <v>17265</v>
      </c>
      <c r="K5661">
        <f t="shared" si="88"/>
        <v>218.18724517621663</v>
      </c>
    </row>
    <row r="5662" spans="1:11" x14ac:dyDescent="0.2">
      <c r="A5662" t="s">
        <v>220</v>
      </c>
      <c r="B5662" t="s">
        <v>3261</v>
      </c>
      <c r="C5662" t="s">
        <v>17266</v>
      </c>
      <c r="D5662" t="s">
        <v>17267</v>
      </c>
      <c r="E5662" t="s">
        <v>1646</v>
      </c>
      <c r="F5662" t="s">
        <v>333</v>
      </c>
      <c r="G5662" t="s">
        <v>12</v>
      </c>
      <c r="H5662">
        <f>44772*(1.01^10)</f>
        <v>49456.141798910459</v>
      </c>
      <c r="I5662">
        <f>214169*(1.01^10)</f>
        <v>236575.81597719231</v>
      </c>
      <c r="J5662" t="s">
        <v>74</v>
      </c>
      <c r="K5662">
        <f t="shared" si="88"/>
        <v>353.09823280177955</v>
      </c>
    </row>
    <row r="5663" spans="1:11" x14ac:dyDescent="0.2">
      <c r="A5663" t="s">
        <v>220</v>
      </c>
      <c r="B5663" t="s">
        <v>3261</v>
      </c>
      <c r="C5663" t="s">
        <v>17268</v>
      </c>
      <c r="D5663" t="s">
        <v>17269</v>
      </c>
      <c r="E5663" t="s">
        <v>330</v>
      </c>
      <c r="F5663" t="s">
        <v>612</v>
      </c>
      <c r="G5663" t="s">
        <v>12</v>
      </c>
      <c r="H5663">
        <f>66679*(1.01^10)</f>
        <v>73655.098700293718</v>
      </c>
      <c r="I5663">
        <f>298070*(1.01^10)</f>
        <v>329254.7169213178</v>
      </c>
      <c r="J5663" t="s">
        <v>1527</v>
      </c>
      <c r="K5663">
        <f t="shared" si="88"/>
        <v>369.53391349193919</v>
      </c>
    </row>
    <row r="5664" spans="1:11" x14ac:dyDescent="0.2">
      <c r="A5664" t="s">
        <v>220</v>
      </c>
      <c r="B5664" t="s">
        <v>1622</v>
      </c>
      <c r="C5664" t="s">
        <v>17270</v>
      </c>
      <c r="D5664" t="s">
        <v>17271</v>
      </c>
      <c r="E5664" t="s">
        <v>2726</v>
      </c>
      <c r="F5664" t="s">
        <v>108</v>
      </c>
      <c r="G5664" t="s">
        <v>17</v>
      </c>
      <c r="H5664">
        <f>51325*(1.01^10)</f>
        <v>56694.730586730082</v>
      </c>
      <c r="I5664">
        <f>210889*(1.01^10)</f>
        <v>232952.65540584357</v>
      </c>
      <c r="J5664" t="s">
        <v>2266</v>
      </c>
      <c r="K5664">
        <f t="shared" si="88"/>
        <v>459.47269310817273</v>
      </c>
    </row>
    <row r="5665" spans="1:11" x14ac:dyDescent="0.2">
      <c r="A5665" t="s">
        <v>220</v>
      </c>
      <c r="B5665" t="s">
        <v>1622</v>
      </c>
      <c r="C5665" t="s">
        <v>17272</v>
      </c>
      <c r="D5665" t="s">
        <v>17273</v>
      </c>
      <c r="E5665" t="s">
        <v>6231</v>
      </c>
      <c r="F5665" t="s">
        <v>427</v>
      </c>
      <c r="G5665" t="s">
        <v>17</v>
      </c>
      <c r="H5665">
        <f>71158*(1.01^10)</f>
        <v>78602.701200010502</v>
      </c>
      <c r="I5665">
        <f>299594*(1.01^10)</f>
        <v>330938.16104044445</v>
      </c>
      <c r="J5665" t="s">
        <v>5030</v>
      </c>
      <c r="K5665">
        <f t="shared" si="88"/>
        <v>415.22981309967935</v>
      </c>
    </row>
    <row r="5666" spans="1:11" x14ac:dyDescent="0.2">
      <c r="A5666" t="s">
        <v>220</v>
      </c>
      <c r="B5666" t="s">
        <v>1622</v>
      </c>
      <c r="C5666" t="s">
        <v>17274</v>
      </c>
      <c r="D5666" t="s">
        <v>17275</v>
      </c>
      <c r="E5666" t="s">
        <v>133</v>
      </c>
      <c r="F5666" t="s">
        <v>726</v>
      </c>
      <c r="G5666" t="s">
        <v>17</v>
      </c>
      <c r="H5666">
        <f>46260*(1.01^10)</f>
        <v>51099.819521522331</v>
      </c>
      <c r="I5666">
        <f>209622*(1.01^10)</f>
        <v>231553.09917294755</v>
      </c>
      <c r="J5666" t="s">
        <v>828</v>
      </c>
      <c r="K5666">
        <f t="shared" si="88"/>
        <v>519.17735240571199</v>
      </c>
    </row>
    <row r="5667" spans="1:11" x14ac:dyDescent="0.2">
      <c r="A5667" t="s">
        <v>220</v>
      </c>
      <c r="B5667" t="s">
        <v>1622</v>
      </c>
      <c r="C5667" t="s">
        <v>17276</v>
      </c>
      <c r="D5667" t="s">
        <v>17277</v>
      </c>
      <c r="E5667" t="s">
        <v>118</v>
      </c>
      <c r="F5667" t="s">
        <v>97</v>
      </c>
      <c r="G5667" t="s">
        <v>12</v>
      </c>
      <c r="H5667">
        <f>60536*(1.01^10)</f>
        <v>66869.404983892688</v>
      </c>
      <c r="I5667">
        <f>270818*(1.01^10)</f>
        <v>299151.55475961167</v>
      </c>
      <c r="J5667" t="s">
        <v>3068</v>
      </c>
      <c r="K5667">
        <f t="shared" si="88"/>
        <v>545.89699773651762</v>
      </c>
    </row>
    <row r="5668" spans="1:11" x14ac:dyDescent="0.2">
      <c r="A5668" t="s">
        <v>220</v>
      </c>
      <c r="B5668" t="s">
        <v>2827</v>
      </c>
      <c r="C5668" t="s">
        <v>17278</v>
      </c>
      <c r="D5668" t="s">
        <v>17279</v>
      </c>
      <c r="E5668" t="s">
        <v>438</v>
      </c>
      <c r="F5668" t="s">
        <v>458</v>
      </c>
      <c r="G5668" t="s">
        <v>17</v>
      </c>
      <c r="H5668">
        <f>49624*(1.01^10)</f>
        <v>54815.768351405626</v>
      </c>
      <c r="I5668">
        <f>203841*(1.01^10)</f>
        <v>225167.2786659454</v>
      </c>
      <c r="J5668" t="s">
        <v>182</v>
      </c>
      <c r="K5668">
        <f t="shared" si="88"/>
        <v>283.22928134081184</v>
      </c>
    </row>
    <row r="5669" spans="1:11" x14ac:dyDescent="0.2">
      <c r="A5669" t="s">
        <v>220</v>
      </c>
      <c r="B5669" t="s">
        <v>2827</v>
      </c>
      <c r="C5669" t="s">
        <v>17280</v>
      </c>
      <c r="D5669" t="s">
        <v>17281</v>
      </c>
      <c r="E5669" t="s">
        <v>390</v>
      </c>
      <c r="F5669" t="s">
        <v>6</v>
      </c>
      <c r="G5669" t="s">
        <v>17</v>
      </c>
      <c r="H5669">
        <f>63352*(1.01^10)</f>
        <v>69980.020889050647</v>
      </c>
      <c r="I5669">
        <f>266614*(1.01^10)</f>
        <v>294507.72334438295</v>
      </c>
      <c r="J5669" t="s">
        <v>1185</v>
      </c>
      <c r="K5669">
        <f t="shared" si="88"/>
        <v>468.21577638216684</v>
      </c>
    </row>
    <row r="5670" spans="1:11" x14ac:dyDescent="0.2">
      <c r="A5670" t="s">
        <v>220</v>
      </c>
      <c r="B5670" t="s">
        <v>2827</v>
      </c>
      <c r="C5670" t="s">
        <v>17282</v>
      </c>
      <c r="D5670" t="s">
        <v>17283</v>
      </c>
      <c r="E5670" t="s">
        <v>58</v>
      </c>
      <c r="F5670" t="s">
        <v>108</v>
      </c>
      <c r="G5670" t="s">
        <v>12</v>
      </c>
      <c r="H5670">
        <f>62384*(1.01^10)</f>
        <v>68910.746671652596</v>
      </c>
      <c r="I5670">
        <f>261304*(1.01^10)</f>
        <v>288642.17985844944</v>
      </c>
      <c r="J5670" t="s">
        <v>2875</v>
      </c>
      <c r="K5670">
        <f t="shared" si="88"/>
        <v>535.51424834591728</v>
      </c>
    </row>
    <row r="5671" spans="1:11" x14ac:dyDescent="0.2">
      <c r="A5671" t="s">
        <v>220</v>
      </c>
      <c r="B5671" t="s">
        <v>2827</v>
      </c>
      <c r="C5671" t="s">
        <v>17284</v>
      </c>
      <c r="D5671" t="s">
        <v>17285</v>
      </c>
      <c r="E5671" t="s">
        <v>475</v>
      </c>
      <c r="F5671" t="s">
        <v>1340</v>
      </c>
      <c r="G5671" t="s">
        <v>12</v>
      </c>
      <c r="H5671">
        <f>85173*(1.01^10)</f>
        <v>94083.980287648548</v>
      </c>
      <c r="I5671">
        <f>350877*(1.01^10)</f>
        <v>387586.49749790732</v>
      </c>
      <c r="J5671" t="s">
        <v>4874</v>
      </c>
      <c r="K5671">
        <f t="shared" si="88"/>
        <v>249.57276078422879</v>
      </c>
    </row>
    <row r="5672" spans="1:11" x14ac:dyDescent="0.2">
      <c r="A5672" t="s">
        <v>1656</v>
      </c>
      <c r="B5672" t="s">
        <v>5020</v>
      </c>
      <c r="C5672" t="s">
        <v>17286</v>
      </c>
      <c r="D5672" t="s">
        <v>17287</v>
      </c>
      <c r="E5672" t="s">
        <v>61</v>
      </c>
      <c r="F5672" t="s">
        <v>24</v>
      </c>
      <c r="G5672" t="s">
        <v>92</v>
      </c>
      <c r="H5672">
        <f>17248*(1.01^10)</f>
        <v>19052.52241909246</v>
      </c>
      <c r="I5672">
        <f>75747*(1.01^10)</f>
        <v>83671.81213352253</v>
      </c>
      <c r="J5672" t="s">
        <v>17288</v>
      </c>
      <c r="K5672">
        <f t="shared" si="88"/>
        <v>332.45316327686953</v>
      </c>
    </row>
    <row r="5673" spans="1:11" x14ac:dyDescent="0.2">
      <c r="A5673" t="s">
        <v>1656</v>
      </c>
      <c r="B5673" t="s">
        <v>5020</v>
      </c>
      <c r="C5673" t="s">
        <v>17289</v>
      </c>
      <c r="D5673" t="s">
        <v>17290</v>
      </c>
      <c r="E5673" t="s">
        <v>56</v>
      </c>
      <c r="F5673" t="s">
        <v>24</v>
      </c>
      <c r="G5673" t="s">
        <v>44</v>
      </c>
      <c r="H5673">
        <f>57147*(1.01^10)</f>
        <v>63125.840600874115</v>
      </c>
      <c r="I5673">
        <f>237440*(1.01^10)</f>
        <v>262281.47745763644</v>
      </c>
      <c r="J5673" t="s">
        <v>17291</v>
      </c>
      <c r="K5673">
        <f t="shared" si="88"/>
        <v>993.56571504521719</v>
      </c>
    </row>
    <row r="5674" spans="1:11" x14ac:dyDescent="0.2">
      <c r="A5674" t="s">
        <v>1656</v>
      </c>
      <c r="B5674" t="s">
        <v>5020</v>
      </c>
      <c r="C5674" t="s">
        <v>17292</v>
      </c>
      <c r="D5674" t="s">
        <v>17293</v>
      </c>
      <c r="E5674" t="s">
        <v>796</v>
      </c>
      <c r="F5674" t="s">
        <v>24</v>
      </c>
      <c r="G5674" t="s">
        <v>405</v>
      </c>
      <c r="H5674">
        <f>42241*(1.01^10)</f>
        <v>46660.343199494702</v>
      </c>
      <c r="I5674">
        <f>177219*(1.01^10)</f>
        <v>195760.0284432483</v>
      </c>
      <c r="J5674" t="s">
        <v>17294</v>
      </c>
      <c r="K5674">
        <f t="shared" si="88"/>
        <v>1010.9482980956843</v>
      </c>
    </row>
    <row r="5675" spans="1:11" x14ac:dyDescent="0.2">
      <c r="A5675" t="s">
        <v>1656</v>
      </c>
      <c r="B5675" t="s">
        <v>5020</v>
      </c>
      <c r="C5675" t="s">
        <v>17295</v>
      </c>
      <c r="D5675" t="s">
        <v>17296</v>
      </c>
      <c r="E5675" t="s">
        <v>796</v>
      </c>
      <c r="F5675" t="s">
        <v>24</v>
      </c>
      <c r="G5675" t="s">
        <v>5</v>
      </c>
      <c r="H5675">
        <f>22414*(1.01^10)</f>
        <v>24759.000318966744</v>
      </c>
      <c r="I5675">
        <f>97955*(1.01^10)</f>
        <v>108203.26029465457</v>
      </c>
      <c r="J5675" t="s">
        <v>17297</v>
      </c>
      <c r="K5675">
        <f t="shared" si="88"/>
        <v>453.13145564996262</v>
      </c>
    </row>
    <row r="5676" spans="1:11" x14ac:dyDescent="0.2">
      <c r="A5676" t="s">
        <v>1656</v>
      </c>
      <c r="B5676" t="s">
        <v>5020</v>
      </c>
      <c r="C5676" t="s">
        <v>17298</v>
      </c>
      <c r="D5676" t="s">
        <v>17299</v>
      </c>
      <c r="E5676" t="s">
        <v>1362</v>
      </c>
      <c r="F5676" t="s">
        <v>158</v>
      </c>
      <c r="G5676" t="s">
        <v>17</v>
      </c>
      <c r="H5676">
        <f>14367*(1.01^10)</f>
        <v>15870.106075782778</v>
      </c>
      <c r="I5676">
        <f>63817*(1.01^10)</f>
        <v>70493.670177366846</v>
      </c>
      <c r="J5676" t="s">
        <v>17300</v>
      </c>
      <c r="K5676">
        <f t="shared" si="88"/>
        <v>142.37406373551764</v>
      </c>
    </row>
    <row r="5677" spans="1:11" x14ac:dyDescent="0.2">
      <c r="A5677" t="s">
        <v>1656</v>
      </c>
      <c r="B5677" t="s">
        <v>5020</v>
      </c>
      <c r="C5677" t="s">
        <v>17301</v>
      </c>
      <c r="D5677" t="s">
        <v>17302</v>
      </c>
      <c r="E5677" t="s">
        <v>796</v>
      </c>
      <c r="F5677" t="s">
        <v>24</v>
      </c>
      <c r="G5677" t="s">
        <v>405</v>
      </c>
      <c r="H5677">
        <f>38349*(1.01^10)</f>
        <v>42361.153887394292</v>
      </c>
      <c r="I5677">
        <f>165830*(1.01^10)</f>
        <v>183179.4870569401</v>
      </c>
      <c r="J5677" t="s">
        <v>17303</v>
      </c>
      <c r="K5677">
        <f t="shared" si="88"/>
        <v>625.65573829134746</v>
      </c>
    </row>
    <row r="5678" spans="1:11" x14ac:dyDescent="0.2">
      <c r="A5678" t="s">
        <v>1656</v>
      </c>
      <c r="B5678" t="s">
        <v>2033</v>
      </c>
      <c r="C5678" t="s">
        <v>17304</v>
      </c>
      <c r="D5678" t="s">
        <v>17305</v>
      </c>
      <c r="E5678" t="s">
        <v>405</v>
      </c>
      <c r="F5678" t="s">
        <v>12</v>
      </c>
      <c r="G5678" t="s">
        <v>5</v>
      </c>
      <c r="H5678">
        <f>35702*(1.01^10)</f>
        <v>39437.219121430833</v>
      </c>
      <c r="I5678">
        <f>154561*(1.01^10)</f>
        <v>170731.50032568121</v>
      </c>
      <c r="J5678" t="s">
        <v>17306</v>
      </c>
      <c r="K5678">
        <f t="shared" si="88"/>
        <v>1564.6215205799231</v>
      </c>
    </row>
    <row r="5679" spans="1:11" x14ac:dyDescent="0.2">
      <c r="A5679" t="s">
        <v>1656</v>
      </c>
      <c r="B5679" t="s">
        <v>2033</v>
      </c>
      <c r="C5679" t="s">
        <v>17307</v>
      </c>
      <c r="D5679" t="s">
        <v>17308</v>
      </c>
      <c r="E5679" t="s">
        <v>1506</v>
      </c>
      <c r="F5679" t="s">
        <v>24</v>
      </c>
      <c r="G5679" t="s">
        <v>458</v>
      </c>
      <c r="H5679">
        <f>71717*(1.01^10)</f>
        <v>79220.184968115369</v>
      </c>
      <c r="I5679">
        <f>294464*(1.01^10)</f>
        <v>325271.44953708502</v>
      </c>
      <c r="J5679" t="s">
        <v>17309</v>
      </c>
      <c r="K5679">
        <f t="shared" si="88"/>
        <v>1090.9291975351657</v>
      </c>
    </row>
    <row r="5680" spans="1:11" x14ac:dyDescent="0.2">
      <c r="A5680" t="s">
        <v>1656</v>
      </c>
      <c r="B5680" t="s">
        <v>2033</v>
      </c>
      <c r="C5680" t="s">
        <v>17310</v>
      </c>
      <c r="D5680" t="s">
        <v>17311</v>
      </c>
      <c r="E5680" t="s">
        <v>1506</v>
      </c>
      <c r="F5680" t="s">
        <v>24</v>
      </c>
      <c r="G5680" t="s">
        <v>11</v>
      </c>
      <c r="H5680">
        <f>19119*(1.01^10)</f>
        <v>21119.270415736824</v>
      </c>
      <c r="I5680">
        <f>81193*(1.01^10)</f>
        <v>89687.584228511943</v>
      </c>
      <c r="J5680" t="s">
        <v>17312</v>
      </c>
      <c r="K5680">
        <f t="shared" si="88"/>
        <v>281.82373123589724</v>
      </c>
    </row>
    <row r="5681" spans="1:11" x14ac:dyDescent="0.2">
      <c r="A5681" t="s">
        <v>1656</v>
      </c>
      <c r="B5681" t="s">
        <v>2033</v>
      </c>
      <c r="C5681" t="s">
        <v>17313</v>
      </c>
      <c r="D5681" t="s">
        <v>17314</v>
      </c>
      <c r="E5681" t="s">
        <v>789</v>
      </c>
      <c r="F5681" t="s">
        <v>158</v>
      </c>
      <c r="G5681" t="s">
        <v>17</v>
      </c>
      <c r="H5681">
        <f>15068*(1.01^10)</f>
        <v>16644.446185696033</v>
      </c>
      <c r="I5681">
        <f>65147*(1.01^10)</f>
        <v>71962.817604163749</v>
      </c>
      <c r="J5681" t="s">
        <v>17315</v>
      </c>
      <c r="K5681">
        <f t="shared" si="88"/>
        <v>80.999074337224513</v>
      </c>
    </row>
    <row r="5682" spans="1:11" x14ac:dyDescent="0.2">
      <c r="A5682" t="s">
        <v>1656</v>
      </c>
      <c r="B5682" t="s">
        <v>2033</v>
      </c>
      <c r="C5682" t="s">
        <v>17316</v>
      </c>
      <c r="D5682" t="s">
        <v>17317</v>
      </c>
      <c r="E5682" t="s">
        <v>6</v>
      </c>
      <c r="F5682" t="s">
        <v>12</v>
      </c>
      <c r="G5682" t="s">
        <v>12</v>
      </c>
      <c r="H5682">
        <f>10239*(1.01^10)</f>
        <v>11310.225942085326</v>
      </c>
      <c r="I5682">
        <f>45172*(1.01^10)</f>
        <v>49897.990649074942</v>
      </c>
      <c r="J5682" t="s">
        <v>17318</v>
      </c>
      <c r="K5682">
        <f t="shared" si="88"/>
        <v>141.73954848618038</v>
      </c>
    </row>
    <row r="5683" spans="1:11" x14ac:dyDescent="0.2">
      <c r="A5683" t="s">
        <v>374</v>
      </c>
      <c r="B5683" t="s">
        <v>6598</v>
      </c>
      <c r="C5683" t="s">
        <v>17319</v>
      </c>
      <c r="D5683" t="s">
        <v>17320</v>
      </c>
      <c r="E5683" t="s">
        <v>24</v>
      </c>
      <c r="F5683" t="s">
        <v>24</v>
      </c>
      <c r="G5683" t="s">
        <v>12</v>
      </c>
      <c r="H5683">
        <f>1375*(1.01^10)</f>
        <v>1518.8554224404065</v>
      </c>
      <c r="I5683">
        <f>7661*(1.01^10)</f>
        <v>8462.5101027752389</v>
      </c>
      <c r="J5683" t="s">
        <v>17321</v>
      </c>
      <c r="K5683">
        <f t="shared" si="88"/>
        <v>3267.3784180599382</v>
      </c>
    </row>
    <row r="5684" spans="1:11" x14ac:dyDescent="0.2">
      <c r="A5684" t="s">
        <v>374</v>
      </c>
      <c r="B5684" t="s">
        <v>6598</v>
      </c>
      <c r="C5684" t="s">
        <v>17322</v>
      </c>
      <c r="D5684" t="s">
        <v>17323</v>
      </c>
      <c r="E5684" t="s">
        <v>12</v>
      </c>
      <c r="F5684" t="s">
        <v>24</v>
      </c>
      <c r="G5684" t="s">
        <v>24</v>
      </c>
      <c r="H5684">
        <f>75*(1.01^10)</f>
        <v>82.846659405840356</v>
      </c>
      <c r="I5684">
        <f>271*(1.01^10)</f>
        <v>299.35259598643648</v>
      </c>
      <c r="J5684" t="s">
        <v>17324</v>
      </c>
      <c r="K5684">
        <f t="shared" si="88"/>
        <v>2721.3872362403317</v>
      </c>
    </row>
    <row r="5685" spans="1:11" x14ac:dyDescent="0.2">
      <c r="A5685" t="s">
        <v>374</v>
      </c>
      <c r="B5685" t="s">
        <v>6598</v>
      </c>
      <c r="C5685" t="s">
        <v>17325</v>
      </c>
      <c r="D5685" t="s">
        <v>17326</v>
      </c>
      <c r="E5685" t="s">
        <v>12</v>
      </c>
      <c r="F5685" t="s">
        <v>24</v>
      </c>
      <c r="G5685" t="s">
        <v>24</v>
      </c>
      <c r="H5685">
        <f>526*(1.01^10)</f>
        <v>581.0312379662937</v>
      </c>
      <c r="I5685">
        <f>2347*(1.01^10)</f>
        <v>2592.5481283400977</v>
      </c>
      <c r="J5685" t="s">
        <v>12</v>
      </c>
      <c r="K5685">
        <f t="shared" si="88"/>
        <v>2592.5481283400977</v>
      </c>
    </row>
    <row r="5686" spans="1:11" x14ac:dyDescent="0.2">
      <c r="A5686" t="s">
        <v>374</v>
      </c>
      <c r="B5686" t="s">
        <v>6598</v>
      </c>
      <c r="C5686" t="s">
        <v>17327</v>
      </c>
      <c r="D5686" t="s">
        <v>17328</v>
      </c>
      <c r="E5686" t="s">
        <v>12</v>
      </c>
      <c r="F5686" t="s">
        <v>24</v>
      </c>
      <c r="G5686" t="s">
        <v>24</v>
      </c>
      <c r="H5686">
        <f>778*(1.01^10)</f>
        <v>859.39601356991727</v>
      </c>
      <c r="I5686">
        <f>3946*(1.01^10)</f>
        <v>4358.8389068726137</v>
      </c>
      <c r="J5686" t="s">
        <v>17329</v>
      </c>
      <c r="K5686">
        <f t="shared" si="88"/>
        <v>1467.6225275665365</v>
      </c>
    </row>
    <row r="5687" spans="1:11" x14ac:dyDescent="0.2">
      <c r="A5687" t="s">
        <v>374</v>
      </c>
      <c r="B5687" t="s">
        <v>6598</v>
      </c>
      <c r="C5687" t="s">
        <v>17330</v>
      </c>
      <c r="D5687" t="s">
        <v>17331</v>
      </c>
      <c r="E5687" t="s">
        <v>24</v>
      </c>
      <c r="F5687" t="s">
        <v>24</v>
      </c>
      <c r="G5687" t="s">
        <v>12</v>
      </c>
      <c r="H5687">
        <f>1061*(1.01^10)</f>
        <v>1172.0040750612882</v>
      </c>
      <c r="I5687">
        <f>5404*(1.01^10)</f>
        <v>5969.3779657221503</v>
      </c>
      <c r="J5687" t="s">
        <v>17332</v>
      </c>
      <c r="K5687">
        <f t="shared" si="88"/>
        <v>1913.2621685006891</v>
      </c>
    </row>
    <row r="5688" spans="1:11" x14ac:dyDescent="0.2">
      <c r="A5688" t="s">
        <v>374</v>
      </c>
      <c r="B5688" t="s">
        <v>6598</v>
      </c>
      <c r="C5688" t="s">
        <v>17333</v>
      </c>
      <c r="D5688" t="s">
        <v>17334</v>
      </c>
      <c r="E5688" t="s">
        <v>12</v>
      </c>
      <c r="F5688" t="s">
        <v>17</v>
      </c>
      <c r="G5688" t="s">
        <v>12</v>
      </c>
      <c r="H5688">
        <f>2249*(1.01^10)</f>
        <v>2484.2951600497995</v>
      </c>
      <c r="I5688">
        <f>11221*(1.01^10)</f>
        <v>12394.964869239129</v>
      </c>
      <c r="J5688" t="s">
        <v>17335</v>
      </c>
      <c r="K5688">
        <f t="shared" si="88"/>
        <v>2951.1821117236022</v>
      </c>
    </row>
    <row r="5689" spans="1:11" x14ac:dyDescent="0.2">
      <c r="A5689" t="s">
        <v>374</v>
      </c>
      <c r="B5689" t="s">
        <v>6598</v>
      </c>
      <c r="C5689" t="s">
        <v>17336</v>
      </c>
      <c r="D5689" t="s">
        <v>17337</v>
      </c>
      <c r="E5689" t="s">
        <v>17</v>
      </c>
      <c r="F5689" t="s">
        <v>92</v>
      </c>
      <c r="G5689" t="s">
        <v>24</v>
      </c>
      <c r="H5689">
        <f>1328*(1.01^10)</f>
        <v>1466.9381825460798</v>
      </c>
      <c r="I5689">
        <f>7566*(1.01^10)</f>
        <v>8357.571000861175</v>
      </c>
      <c r="J5689" t="s">
        <v>17338</v>
      </c>
      <c r="K5689">
        <f t="shared" si="88"/>
        <v>2176.4507814742642</v>
      </c>
    </row>
    <row r="5690" spans="1:11" x14ac:dyDescent="0.2">
      <c r="A5690" t="s">
        <v>374</v>
      </c>
      <c r="B5690" t="s">
        <v>6598</v>
      </c>
      <c r="C5690" t="s">
        <v>17339</v>
      </c>
      <c r="D5690" t="s">
        <v>17340</v>
      </c>
      <c r="E5690" t="s">
        <v>24</v>
      </c>
      <c r="F5690" t="s">
        <v>24</v>
      </c>
      <c r="G5690" t="s">
        <v>12</v>
      </c>
      <c r="H5690">
        <f>1806*(1.01^10)</f>
        <v>1994.9475584926358</v>
      </c>
      <c r="I5690">
        <f>11191*(1.01^10)</f>
        <v>12361.826205476793</v>
      </c>
      <c r="J5690" t="s">
        <v>17341</v>
      </c>
      <c r="K5690">
        <f t="shared" si="88"/>
        <v>2554.0963234456185</v>
      </c>
    </row>
    <row r="5691" spans="1:11" x14ac:dyDescent="0.2">
      <c r="A5691" t="s">
        <v>374</v>
      </c>
      <c r="B5691" t="s">
        <v>6598</v>
      </c>
      <c r="C5691" t="s">
        <v>17342</v>
      </c>
      <c r="D5691" t="s">
        <v>17343</v>
      </c>
      <c r="E5691" t="s">
        <v>24</v>
      </c>
      <c r="F5691" t="s">
        <v>6</v>
      </c>
      <c r="G5691" t="s">
        <v>12</v>
      </c>
      <c r="H5691">
        <f>934*(1.01^10)</f>
        <v>1031.7170651340653</v>
      </c>
      <c r="I5691">
        <f>4419*(1.01^10)</f>
        <v>4881.3251721921142</v>
      </c>
      <c r="J5691" t="s">
        <v>17344</v>
      </c>
      <c r="K5691">
        <f t="shared" si="88"/>
        <v>1768.596076881201</v>
      </c>
    </row>
    <row r="5692" spans="1:11" x14ac:dyDescent="0.2">
      <c r="A5692" t="s">
        <v>374</v>
      </c>
      <c r="B5692" t="s">
        <v>6598</v>
      </c>
      <c r="C5692" t="s">
        <v>17345</v>
      </c>
      <c r="D5692" t="s">
        <v>17346</v>
      </c>
      <c r="E5692" t="s">
        <v>24</v>
      </c>
      <c r="F5692" t="s">
        <v>12</v>
      </c>
      <c r="G5692" t="s">
        <v>12</v>
      </c>
      <c r="H5692">
        <f>1442*(1.01^10)</f>
        <v>1592.8651048429572</v>
      </c>
      <c r="I5692">
        <f>10447*(1.01^10)</f>
        <v>11539.987344170857</v>
      </c>
      <c r="J5692" t="s">
        <v>17347</v>
      </c>
      <c r="K5692">
        <f t="shared" si="88"/>
        <v>2525.1613444575178</v>
      </c>
    </row>
    <row r="5693" spans="1:11" x14ac:dyDescent="0.2">
      <c r="A5693" t="s">
        <v>103</v>
      </c>
      <c r="B5693" t="s">
        <v>17348</v>
      </c>
      <c r="C5693" t="s">
        <v>17349</v>
      </c>
      <c r="D5693" t="s">
        <v>17350</v>
      </c>
      <c r="E5693" t="s">
        <v>67</v>
      </c>
      <c r="F5693" t="s">
        <v>24</v>
      </c>
      <c r="G5693" t="s">
        <v>44</v>
      </c>
      <c r="H5693">
        <f>132057*(1.01^10)</f>
        <v>145873.08401542748</v>
      </c>
      <c r="I5693">
        <f>681734*(1.01^10)</f>
        <v>753058.46004508226</v>
      </c>
      <c r="J5693" t="s">
        <v>17351</v>
      </c>
      <c r="K5693">
        <f t="shared" si="88"/>
        <v>774.28151640987699</v>
      </c>
    </row>
    <row r="5694" spans="1:11" x14ac:dyDescent="0.2">
      <c r="A5694" t="s">
        <v>103</v>
      </c>
      <c r="B5694" t="s">
        <v>17348</v>
      </c>
      <c r="C5694" t="s">
        <v>17352</v>
      </c>
      <c r="D5694" t="s">
        <v>17353</v>
      </c>
      <c r="E5694" t="s">
        <v>220</v>
      </c>
      <c r="F5694" t="s">
        <v>24</v>
      </c>
      <c r="G5694" t="s">
        <v>108</v>
      </c>
      <c r="H5694">
        <f>141353*(1.01^10)</f>
        <v>156141.65129325003</v>
      </c>
      <c r="I5694">
        <f>625641*(1.01^10)</f>
        <v>691096.89116439153</v>
      </c>
      <c r="J5694" t="s">
        <v>17354</v>
      </c>
      <c r="K5694">
        <f t="shared" si="88"/>
        <v>698.84710556510856</v>
      </c>
    </row>
    <row r="5695" spans="1:11" x14ac:dyDescent="0.2">
      <c r="A5695" t="s">
        <v>103</v>
      </c>
      <c r="B5695" t="s">
        <v>3427</v>
      </c>
      <c r="C5695" t="s">
        <v>17355</v>
      </c>
      <c r="D5695" t="s">
        <v>17356</v>
      </c>
      <c r="E5695" t="s">
        <v>103</v>
      </c>
      <c r="F5695" t="s">
        <v>24</v>
      </c>
      <c r="G5695" t="s">
        <v>108</v>
      </c>
      <c r="H5695">
        <f>175372*(1.01^10)</f>
        <v>193719.79137761379</v>
      </c>
      <c r="I5695">
        <f>764888*(1.01^10)</f>
        <v>844912.20826152561</v>
      </c>
      <c r="J5695" t="s">
        <v>17357</v>
      </c>
      <c r="K5695">
        <f t="shared" si="88"/>
        <v>634.95724547331815</v>
      </c>
    </row>
    <row r="5696" spans="1:11" x14ac:dyDescent="0.2">
      <c r="A5696" t="s">
        <v>103</v>
      </c>
      <c r="B5696" t="s">
        <v>3427</v>
      </c>
      <c r="C5696" t="s">
        <v>17358</v>
      </c>
      <c r="D5696" t="s">
        <v>17359</v>
      </c>
      <c r="E5696" t="s">
        <v>17</v>
      </c>
      <c r="F5696" t="s">
        <v>24</v>
      </c>
      <c r="G5696" t="s">
        <v>103</v>
      </c>
      <c r="H5696">
        <f>165323*(1.01^10)</f>
        <v>182619.44363935661</v>
      </c>
      <c r="I5696">
        <f>784984*(1.01^10)</f>
        <v>867110.69449378911</v>
      </c>
      <c r="J5696" t="s">
        <v>17360</v>
      </c>
      <c r="K5696">
        <f t="shared" si="88"/>
        <v>2013.9137274567752</v>
      </c>
    </row>
    <row r="5697" spans="1:11" x14ac:dyDescent="0.2">
      <c r="A5697" t="s">
        <v>103</v>
      </c>
      <c r="B5697" t="s">
        <v>3427</v>
      </c>
      <c r="C5697" t="s">
        <v>17361</v>
      </c>
      <c r="D5697" t="s">
        <v>17362</v>
      </c>
      <c r="E5697" t="s">
        <v>796</v>
      </c>
      <c r="F5697" t="s">
        <v>24</v>
      </c>
      <c r="G5697" t="s">
        <v>726</v>
      </c>
      <c r="H5697">
        <f>213603*(1.01^10)</f>
        <v>235950.59985420958</v>
      </c>
      <c r="I5697">
        <f>973131*(1.01^10)</f>
        <v>1074942.0335235312</v>
      </c>
      <c r="J5697" t="s">
        <v>17363</v>
      </c>
      <c r="K5697">
        <f t="shared" si="88"/>
        <v>891.28404351651761</v>
      </c>
    </row>
    <row r="5698" spans="1:11" x14ac:dyDescent="0.2">
      <c r="A5698" t="s">
        <v>103</v>
      </c>
      <c r="B5698" t="s">
        <v>6311</v>
      </c>
      <c r="C5698" t="s">
        <v>17364</v>
      </c>
      <c r="D5698" t="s">
        <v>17365</v>
      </c>
      <c r="E5698" t="s">
        <v>44</v>
      </c>
      <c r="F5698" t="s">
        <v>24</v>
      </c>
      <c r="G5698" t="s">
        <v>24</v>
      </c>
      <c r="H5698">
        <f>58911*(1.01^10)</f>
        <v>65074.39403009948</v>
      </c>
      <c r="I5698">
        <f>258140*(1.01^10)</f>
        <v>285147.15545364842</v>
      </c>
      <c r="J5698" t="s">
        <v>17366</v>
      </c>
      <c r="K5698">
        <f t="shared" si="88"/>
        <v>385.11021359702937</v>
      </c>
    </row>
    <row r="5699" spans="1:11" x14ac:dyDescent="0.2">
      <c r="A5699" t="s">
        <v>103</v>
      </c>
      <c r="B5699" t="s">
        <v>6311</v>
      </c>
      <c r="C5699" t="s">
        <v>17367</v>
      </c>
      <c r="D5699" t="s">
        <v>17368</v>
      </c>
      <c r="E5699" t="s">
        <v>274</v>
      </c>
      <c r="F5699" t="s">
        <v>24</v>
      </c>
      <c r="G5699" t="s">
        <v>24</v>
      </c>
      <c r="H5699">
        <f>72206*(1.01^10)</f>
        <v>79760.345187441446</v>
      </c>
      <c r="I5699">
        <f>297863*(1.01^10)</f>
        <v>329026.06014135765</v>
      </c>
      <c r="J5699" t="s">
        <v>17369</v>
      </c>
      <c r="K5699">
        <f t="shared" ref="K5699:K5762" si="89">I5699/J5699</f>
        <v>424.62646173677524</v>
      </c>
    </row>
    <row r="5700" spans="1:11" x14ac:dyDescent="0.2">
      <c r="A5700" t="s">
        <v>103</v>
      </c>
      <c r="B5700" t="s">
        <v>6311</v>
      </c>
      <c r="C5700" t="s">
        <v>17370</v>
      </c>
      <c r="D5700" t="s">
        <v>17371</v>
      </c>
      <c r="E5700" t="s">
        <v>411</v>
      </c>
      <c r="F5700" t="s">
        <v>24</v>
      </c>
      <c r="G5700" t="s">
        <v>12</v>
      </c>
      <c r="H5700">
        <f>59777*(1.01^10)</f>
        <v>66030.996790705583</v>
      </c>
      <c r="I5700">
        <f>261417*(1.01^10)</f>
        <v>288767.00215862092</v>
      </c>
      <c r="J5700" t="s">
        <v>17372</v>
      </c>
      <c r="K5700">
        <f t="shared" si="89"/>
        <v>472.47456094541928</v>
      </c>
    </row>
    <row r="5701" spans="1:11" x14ac:dyDescent="0.2">
      <c r="A5701" t="s">
        <v>103</v>
      </c>
      <c r="B5701" t="s">
        <v>4738</v>
      </c>
      <c r="C5701" t="s">
        <v>17373</v>
      </c>
      <c r="D5701" t="s">
        <v>17374</v>
      </c>
      <c r="E5701" t="s">
        <v>382</v>
      </c>
      <c r="F5701" t="s">
        <v>24</v>
      </c>
      <c r="G5701" t="s">
        <v>274</v>
      </c>
      <c r="H5701">
        <f>152553*(1.01^10)</f>
        <v>168513.41909785551</v>
      </c>
      <c r="I5701">
        <f>687265*(1.01^10)</f>
        <v>759168.12502073159</v>
      </c>
      <c r="J5701" t="s">
        <v>17375</v>
      </c>
      <c r="K5701">
        <f t="shared" si="89"/>
        <v>1318.984875898208</v>
      </c>
    </row>
    <row r="5702" spans="1:11" x14ac:dyDescent="0.2">
      <c r="A5702" t="s">
        <v>103</v>
      </c>
      <c r="B5702" t="s">
        <v>4738</v>
      </c>
      <c r="C5702" t="s">
        <v>17376</v>
      </c>
      <c r="D5702" t="s">
        <v>17377</v>
      </c>
      <c r="E5702" t="s">
        <v>356</v>
      </c>
      <c r="F5702" t="s">
        <v>24</v>
      </c>
      <c r="G5702" t="s">
        <v>44</v>
      </c>
      <c r="H5702">
        <f>172883*(1.01^10)</f>
        <v>190970.38690746532</v>
      </c>
      <c r="I5702">
        <f>728168*(1.01^10)</f>
        <v>804350.48381642613</v>
      </c>
      <c r="J5702" t="s">
        <v>17378</v>
      </c>
      <c r="K5702">
        <f t="shared" si="89"/>
        <v>1100.1771057931448</v>
      </c>
    </row>
    <row r="5703" spans="1:11" x14ac:dyDescent="0.2">
      <c r="A5703" t="s">
        <v>103</v>
      </c>
      <c r="B5703" t="s">
        <v>4738</v>
      </c>
      <c r="C5703" t="s">
        <v>17379</v>
      </c>
      <c r="D5703" t="s">
        <v>17380</v>
      </c>
      <c r="E5703" t="s">
        <v>422</v>
      </c>
      <c r="F5703" t="s">
        <v>24</v>
      </c>
      <c r="G5703" t="s">
        <v>422</v>
      </c>
      <c r="H5703">
        <f>372274*(1.01^10)</f>
        <v>411222.09711533086</v>
      </c>
      <c r="I5703">
        <f>1670860*(1.01^10)</f>
        <v>1845668.9244645655</v>
      </c>
      <c r="J5703" t="s">
        <v>17381</v>
      </c>
      <c r="K5703">
        <f t="shared" si="89"/>
        <v>1788.3002523685816</v>
      </c>
    </row>
    <row r="5704" spans="1:11" x14ac:dyDescent="0.2">
      <c r="A5704" t="s">
        <v>103</v>
      </c>
      <c r="B5704" t="s">
        <v>3127</v>
      </c>
      <c r="C5704" t="s">
        <v>17382</v>
      </c>
      <c r="D5704" t="s">
        <v>17383</v>
      </c>
      <c r="E5704" t="s">
        <v>796</v>
      </c>
      <c r="F5704" t="s">
        <v>24</v>
      </c>
      <c r="G5704" t="s">
        <v>158</v>
      </c>
      <c r="H5704">
        <f>178209*(1.01^10)</f>
        <v>196853.60434740537</v>
      </c>
      <c r="I5704">
        <f>910978*(1.01^10)</f>
        <v>1006286.4545628484</v>
      </c>
      <c r="J5704" t="s">
        <v>17384</v>
      </c>
      <c r="K5704">
        <f t="shared" si="89"/>
        <v>1429.6887896041037</v>
      </c>
    </row>
    <row r="5705" spans="1:11" x14ac:dyDescent="0.2">
      <c r="A5705" t="s">
        <v>103</v>
      </c>
      <c r="B5705" t="s">
        <v>3127</v>
      </c>
      <c r="C5705" t="s">
        <v>17385</v>
      </c>
      <c r="D5705" t="s">
        <v>17386</v>
      </c>
      <c r="E5705" t="s">
        <v>445</v>
      </c>
      <c r="F5705" t="s">
        <v>24</v>
      </c>
      <c r="G5705" t="s">
        <v>12</v>
      </c>
      <c r="H5705">
        <f>120552*(1.01^10)</f>
        <v>133164.40646257155</v>
      </c>
      <c r="I5705">
        <f>574059*(1.01^10)</f>
        <v>634118.27269143076</v>
      </c>
      <c r="J5705" t="s">
        <v>17387</v>
      </c>
      <c r="K5705">
        <f t="shared" si="89"/>
        <v>472.06356981100936</v>
      </c>
    </row>
    <row r="5706" spans="1:11" x14ac:dyDescent="0.2">
      <c r="A5706" t="s">
        <v>103</v>
      </c>
      <c r="B5706" t="s">
        <v>3127</v>
      </c>
      <c r="C5706" t="s">
        <v>17388</v>
      </c>
      <c r="D5706" t="s">
        <v>17389</v>
      </c>
      <c r="E5706" t="s">
        <v>422</v>
      </c>
      <c r="F5706" t="s">
        <v>24</v>
      </c>
      <c r="G5706" t="s">
        <v>11</v>
      </c>
      <c r="H5706">
        <f>118792*(1.01^10)</f>
        <v>131220.27152184784</v>
      </c>
      <c r="I5706">
        <f>606396*(1.01^10)</f>
        <v>669838.43836085289</v>
      </c>
      <c r="J5706" t="s">
        <v>17390</v>
      </c>
      <c r="K5706">
        <f t="shared" si="89"/>
        <v>1324.0268790117864</v>
      </c>
    </row>
    <row r="5707" spans="1:11" x14ac:dyDescent="0.2">
      <c r="A5707" t="s">
        <v>103</v>
      </c>
      <c r="B5707" t="s">
        <v>3127</v>
      </c>
      <c r="C5707" t="s">
        <v>17391</v>
      </c>
      <c r="D5707" t="s">
        <v>17392</v>
      </c>
      <c r="E5707" t="s">
        <v>44</v>
      </c>
      <c r="F5707" t="s">
        <v>24</v>
      </c>
      <c r="G5707" t="s">
        <v>458</v>
      </c>
      <c r="H5707">
        <f>170514*(1.01^10)</f>
        <v>188353.53709236617</v>
      </c>
      <c r="I5707">
        <f>928672*(1.01^10)</f>
        <v>1025831.6384498744</v>
      </c>
      <c r="J5707" t="s">
        <v>17393</v>
      </c>
      <c r="K5707">
        <f t="shared" si="89"/>
        <v>2291.4395069019711</v>
      </c>
    </row>
    <row r="5708" spans="1:11" x14ac:dyDescent="0.2">
      <c r="A5708" t="s">
        <v>103</v>
      </c>
      <c r="B5708" t="s">
        <v>3127</v>
      </c>
      <c r="C5708" t="s">
        <v>17394</v>
      </c>
      <c r="D5708" t="s">
        <v>17395</v>
      </c>
      <c r="E5708" t="s">
        <v>17</v>
      </c>
      <c r="F5708" t="s">
        <v>24</v>
      </c>
      <c r="G5708" t="s">
        <v>44</v>
      </c>
      <c r="H5708">
        <f>131272*(1.01^10)</f>
        <v>145005.95564697968</v>
      </c>
      <c r="I5708">
        <f>713017*(1.01^10)</f>
        <v>787614.35399432096</v>
      </c>
      <c r="J5708" t="s">
        <v>17396</v>
      </c>
      <c r="K5708">
        <f t="shared" si="89"/>
        <v>2445.7034964424324</v>
      </c>
    </row>
    <row r="5709" spans="1:11" x14ac:dyDescent="0.2">
      <c r="A5709" t="s">
        <v>103</v>
      </c>
      <c r="B5709" t="s">
        <v>3127</v>
      </c>
      <c r="C5709" t="s">
        <v>17397</v>
      </c>
      <c r="D5709" t="s">
        <v>17398</v>
      </c>
      <c r="E5709" t="s">
        <v>92</v>
      </c>
      <c r="F5709" t="s">
        <v>24</v>
      </c>
      <c r="G5709" t="s">
        <v>92</v>
      </c>
      <c r="H5709">
        <f>74660*(1.01^10)</f>
        <v>82471.08788320054</v>
      </c>
      <c r="I5709">
        <f>379798*(1.01^10)</f>
        <v>419533.27398692473</v>
      </c>
      <c r="J5709" t="s">
        <v>17399</v>
      </c>
      <c r="K5709">
        <f t="shared" si="89"/>
        <v>2094.0018666679548</v>
      </c>
    </row>
    <row r="5710" spans="1:11" x14ac:dyDescent="0.2">
      <c r="A5710" t="s">
        <v>103</v>
      </c>
      <c r="B5710" t="s">
        <v>17400</v>
      </c>
      <c r="C5710" t="s">
        <v>17401</v>
      </c>
      <c r="D5710" t="s">
        <v>17402</v>
      </c>
      <c r="E5710" t="s">
        <v>1656</v>
      </c>
      <c r="F5710" t="s">
        <v>24</v>
      </c>
      <c r="G5710" t="s">
        <v>744</v>
      </c>
      <c r="H5710">
        <f>201045*(1.01^10)</f>
        <v>222078.75520329564</v>
      </c>
      <c r="I5710">
        <f>930692*(1.01^10)</f>
        <v>1028062.975143205</v>
      </c>
      <c r="J5710" t="s">
        <v>17403</v>
      </c>
      <c r="K5710">
        <f t="shared" si="89"/>
        <v>1215.2331912612651</v>
      </c>
    </row>
    <row r="5711" spans="1:11" x14ac:dyDescent="0.2">
      <c r="A5711" t="s">
        <v>103</v>
      </c>
      <c r="B5711" t="s">
        <v>17400</v>
      </c>
      <c r="C5711" t="s">
        <v>17404</v>
      </c>
      <c r="D5711" t="s">
        <v>17405</v>
      </c>
      <c r="E5711" t="s">
        <v>726</v>
      </c>
      <c r="F5711" t="s">
        <v>24</v>
      </c>
      <c r="G5711" t="s">
        <v>12</v>
      </c>
      <c r="H5711">
        <f>83238*(1.01^10)</f>
        <v>91946.536474977867</v>
      </c>
      <c r="I5711">
        <f>384393*(1.01^10)</f>
        <v>424609.01265318925</v>
      </c>
      <c r="J5711" t="s">
        <v>17406</v>
      </c>
      <c r="K5711">
        <f t="shared" si="89"/>
        <v>351.09353695101595</v>
      </c>
    </row>
    <row r="5712" spans="1:11" x14ac:dyDescent="0.2">
      <c r="A5712" t="s">
        <v>103</v>
      </c>
      <c r="B5712" t="s">
        <v>17400</v>
      </c>
      <c r="C5712" t="s">
        <v>17407</v>
      </c>
      <c r="D5712" t="s">
        <v>17408</v>
      </c>
      <c r="E5712" t="s">
        <v>422</v>
      </c>
      <c r="F5712" t="s">
        <v>24</v>
      </c>
      <c r="G5712" t="s">
        <v>6</v>
      </c>
      <c r="H5712">
        <f>144585*(1.01^10)</f>
        <v>159711.79000257904</v>
      </c>
      <c r="I5712">
        <f>612116*(1.01^10)</f>
        <v>676156.87691820506</v>
      </c>
      <c r="J5712" t="s">
        <v>17409</v>
      </c>
      <c r="K5712">
        <f t="shared" si="89"/>
        <v>948.15374043751501</v>
      </c>
    </row>
    <row r="5713" spans="1:11" x14ac:dyDescent="0.2">
      <c r="A5713" t="s">
        <v>103</v>
      </c>
      <c r="B5713" t="s">
        <v>17400</v>
      </c>
      <c r="C5713" t="s">
        <v>17410</v>
      </c>
      <c r="D5713" t="s">
        <v>17411</v>
      </c>
      <c r="E5713" t="s">
        <v>56</v>
      </c>
      <c r="F5713" t="s">
        <v>24</v>
      </c>
      <c r="G5713" t="s">
        <v>11</v>
      </c>
      <c r="H5713">
        <f>104996*(1.01^10)</f>
        <v>115980.90467967486</v>
      </c>
      <c r="I5713">
        <f>437738*(1.01^10)</f>
        <v>483535.07993324992</v>
      </c>
      <c r="J5713" t="s">
        <v>17412</v>
      </c>
      <c r="K5713">
        <f t="shared" si="89"/>
        <v>425.56091630501737</v>
      </c>
    </row>
    <row r="5714" spans="1:11" x14ac:dyDescent="0.2">
      <c r="A5714" t="s">
        <v>103</v>
      </c>
      <c r="B5714" t="s">
        <v>17400</v>
      </c>
      <c r="C5714" t="s">
        <v>17413</v>
      </c>
      <c r="D5714" t="s">
        <v>17414</v>
      </c>
      <c r="E5714" t="s">
        <v>220</v>
      </c>
      <c r="F5714" t="s">
        <v>24</v>
      </c>
      <c r="G5714" t="s">
        <v>12</v>
      </c>
      <c r="H5714">
        <f>103356*(1.01^10)</f>
        <v>114169.32439400048</v>
      </c>
      <c r="I5714">
        <f>444995*(1.01^10)</f>
        <v>491551.32269735908</v>
      </c>
      <c r="J5714" t="s">
        <v>17415</v>
      </c>
      <c r="K5714">
        <f t="shared" si="89"/>
        <v>860.75493844425205</v>
      </c>
    </row>
    <row r="5715" spans="1:11" x14ac:dyDescent="0.2">
      <c r="A5715" t="s">
        <v>103</v>
      </c>
      <c r="B5715" t="s">
        <v>2757</v>
      </c>
      <c r="C5715" t="s">
        <v>17416</v>
      </c>
      <c r="D5715" t="s">
        <v>17417</v>
      </c>
      <c r="E5715" t="s">
        <v>176</v>
      </c>
      <c r="F5715" t="s">
        <v>24</v>
      </c>
      <c r="G5715" t="s">
        <v>1656</v>
      </c>
      <c r="H5715">
        <f>148429*(1.01^10)</f>
        <v>163957.9574526597</v>
      </c>
      <c r="I5715">
        <f>632086*(1.01^10)</f>
        <v>698216.18076266674</v>
      </c>
      <c r="J5715" t="s">
        <v>17418</v>
      </c>
      <c r="K5715">
        <f t="shared" si="89"/>
        <v>1027.7558006986969</v>
      </c>
    </row>
    <row r="5716" spans="1:11" x14ac:dyDescent="0.2">
      <c r="A5716" t="s">
        <v>103</v>
      </c>
      <c r="B5716" t="s">
        <v>2757</v>
      </c>
      <c r="C5716" t="s">
        <v>17419</v>
      </c>
      <c r="D5716" t="s">
        <v>17420</v>
      </c>
      <c r="E5716" t="s">
        <v>6</v>
      </c>
      <c r="F5716" t="s">
        <v>24</v>
      </c>
      <c r="G5716" t="s">
        <v>796</v>
      </c>
      <c r="H5716">
        <f>108151*(1.01^10)</f>
        <v>119465.9874853472</v>
      </c>
      <c r="I5716">
        <f>470898*(1.01^10)</f>
        <v>520164.3496118855</v>
      </c>
      <c r="J5716" t="s">
        <v>17421</v>
      </c>
      <c r="K5716">
        <f t="shared" si="89"/>
        <v>2216.0113731175629</v>
      </c>
    </row>
    <row r="5717" spans="1:11" x14ac:dyDescent="0.2">
      <c r="A5717" t="s">
        <v>103</v>
      </c>
      <c r="B5717" t="s">
        <v>2757</v>
      </c>
      <c r="C5717" t="s">
        <v>17422</v>
      </c>
      <c r="D5717" t="s">
        <v>17423</v>
      </c>
      <c r="E5717" t="s">
        <v>458</v>
      </c>
      <c r="F5717" t="s">
        <v>24</v>
      </c>
      <c r="G5717" t="s">
        <v>333</v>
      </c>
      <c r="H5717">
        <f>215213*(1.01^10)</f>
        <v>237729.04147612161</v>
      </c>
      <c r="I5717">
        <f>874615*(1.01^10)</f>
        <v>966119.08021652082</v>
      </c>
      <c r="J5717" t="s">
        <v>17424</v>
      </c>
      <c r="K5717">
        <f t="shared" si="89"/>
        <v>1533.2303056822841</v>
      </c>
    </row>
    <row r="5718" spans="1:11" x14ac:dyDescent="0.2">
      <c r="A5718" t="s">
        <v>103</v>
      </c>
      <c r="B5718" t="s">
        <v>2757</v>
      </c>
      <c r="C5718" t="s">
        <v>17425</v>
      </c>
      <c r="D5718" t="s">
        <v>17426</v>
      </c>
      <c r="E5718" t="s">
        <v>11</v>
      </c>
      <c r="F5718" t="s">
        <v>24</v>
      </c>
      <c r="G5718" t="s">
        <v>458</v>
      </c>
      <c r="H5718">
        <f>76926*(1.01^10)</f>
        <v>84974.161619382343</v>
      </c>
      <c r="I5718">
        <f>312238*(1.01^10)</f>
        <v>344905.00319414376</v>
      </c>
      <c r="J5718" t="s">
        <v>17427</v>
      </c>
      <c r="K5718">
        <f t="shared" si="89"/>
        <v>2372.2745938107582</v>
      </c>
    </row>
    <row r="5719" spans="1:11" x14ac:dyDescent="0.2">
      <c r="A5719" t="s">
        <v>103</v>
      </c>
      <c r="B5719" t="s">
        <v>2757</v>
      </c>
      <c r="C5719" t="s">
        <v>17428</v>
      </c>
      <c r="D5719" t="s">
        <v>17429</v>
      </c>
      <c r="E5719" t="s">
        <v>97</v>
      </c>
      <c r="F5719" t="s">
        <v>24</v>
      </c>
      <c r="G5719" t="s">
        <v>726</v>
      </c>
      <c r="H5719">
        <f>210491*(1.01^10)</f>
        <v>232513.01579992991</v>
      </c>
      <c r="I5719">
        <f>831363*(1.01^10)</f>
        <v>918341.96404823544</v>
      </c>
      <c r="J5719" t="s">
        <v>17430</v>
      </c>
      <c r="K5719">
        <f t="shared" si="89"/>
        <v>690.92424786384936</v>
      </c>
    </row>
    <row r="5720" spans="1:11" x14ac:dyDescent="0.2">
      <c r="A5720" t="s">
        <v>103</v>
      </c>
      <c r="B5720" t="s">
        <v>1479</v>
      </c>
      <c r="C5720" t="s">
        <v>17431</v>
      </c>
      <c r="D5720" t="s">
        <v>17432</v>
      </c>
      <c r="E5720" t="s">
        <v>274</v>
      </c>
      <c r="F5720" t="s">
        <v>24</v>
      </c>
      <c r="G5720" t="s">
        <v>744</v>
      </c>
      <c r="H5720">
        <f>115490*(1.01^10)</f>
        <v>127572.80926374004</v>
      </c>
      <c r="I5720">
        <f>469164*(1.01^10)</f>
        <v>518248.93484642246</v>
      </c>
      <c r="J5720" t="s">
        <v>17433</v>
      </c>
      <c r="K5720">
        <f t="shared" si="89"/>
        <v>1116.1941306190447</v>
      </c>
    </row>
    <row r="5721" spans="1:11" x14ac:dyDescent="0.2">
      <c r="A5721" t="s">
        <v>103</v>
      </c>
      <c r="B5721" t="s">
        <v>1479</v>
      </c>
      <c r="C5721" t="s">
        <v>17434</v>
      </c>
      <c r="D5721" t="s">
        <v>17435</v>
      </c>
      <c r="E5721" t="s">
        <v>6</v>
      </c>
      <c r="F5721" t="s">
        <v>24</v>
      </c>
      <c r="G5721" t="s">
        <v>382</v>
      </c>
      <c r="H5721">
        <f>115905*(1.01^10)</f>
        <v>128031.22744578568</v>
      </c>
      <c r="I5721">
        <f>468408*(1.01^10)</f>
        <v>517413.84051961161</v>
      </c>
      <c r="J5721" t="s">
        <v>17436</v>
      </c>
      <c r="K5721">
        <f t="shared" si="89"/>
        <v>973.33253168722433</v>
      </c>
    </row>
    <row r="5722" spans="1:11" x14ac:dyDescent="0.2">
      <c r="A5722" t="s">
        <v>103</v>
      </c>
      <c r="B5722" t="s">
        <v>1479</v>
      </c>
      <c r="C5722" t="s">
        <v>17437</v>
      </c>
      <c r="D5722" t="s">
        <v>17438</v>
      </c>
      <c r="E5722" t="s">
        <v>17</v>
      </c>
      <c r="F5722" t="s">
        <v>24</v>
      </c>
      <c r="G5722" t="s">
        <v>108</v>
      </c>
      <c r="H5722">
        <f>102472*(1.01^10)</f>
        <v>113192.83843513698</v>
      </c>
      <c r="I5722">
        <f>410571*(1.01^10)</f>
        <v>453525.81065220374</v>
      </c>
      <c r="J5722" t="s">
        <v>17439</v>
      </c>
      <c r="K5722">
        <f t="shared" si="89"/>
        <v>2616.0925856726103</v>
      </c>
    </row>
    <row r="5723" spans="1:11" x14ac:dyDescent="0.2">
      <c r="A5723" t="s">
        <v>103</v>
      </c>
      <c r="B5723" t="s">
        <v>1479</v>
      </c>
      <c r="C5723" t="s">
        <v>17440</v>
      </c>
      <c r="D5723" t="s">
        <v>17441</v>
      </c>
      <c r="E5723" t="s">
        <v>92</v>
      </c>
      <c r="F5723" t="s">
        <v>24</v>
      </c>
      <c r="G5723" t="s">
        <v>5</v>
      </c>
      <c r="H5723">
        <f>122084*(1.01^10)</f>
        <v>134856.68755870152</v>
      </c>
      <c r="I5723">
        <f>508212*(1.01^10)</f>
        <v>561382.21959947923</v>
      </c>
      <c r="J5723" t="s">
        <v>17442</v>
      </c>
      <c r="K5723">
        <f t="shared" si="89"/>
        <v>4339.0185469120361</v>
      </c>
    </row>
    <row r="5724" spans="1:11" x14ac:dyDescent="0.2">
      <c r="A5724" t="s">
        <v>103</v>
      </c>
      <c r="B5724" t="s">
        <v>1479</v>
      </c>
      <c r="C5724" t="s">
        <v>17443</v>
      </c>
      <c r="D5724" t="s">
        <v>17444</v>
      </c>
      <c r="E5724" t="s">
        <v>92</v>
      </c>
      <c r="F5724" t="s">
        <v>24</v>
      </c>
      <c r="G5724" t="s">
        <v>44</v>
      </c>
      <c r="H5724">
        <f>216544*(1.01^10)</f>
        <v>239199.29352504393</v>
      </c>
      <c r="I5724">
        <f>851406*(1.01^10)</f>
        <v>940481.9053078522</v>
      </c>
      <c r="J5724" t="s">
        <v>17445</v>
      </c>
      <c r="K5724">
        <f t="shared" si="89"/>
        <v>3103.2861654716962</v>
      </c>
    </row>
    <row r="5725" spans="1:11" x14ac:dyDescent="0.2">
      <c r="A5725" t="s">
        <v>103</v>
      </c>
      <c r="B5725" t="s">
        <v>1479</v>
      </c>
      <c r="C5725" t="s">
        <v>17446</v>
      </c>
      <c r="D5725" t="s">
        <v>17447</v>
      </c>
      <c r="E5725" t="s">
        <v>411</v>
      </c>
      <c r="F5725" t="s">
        <v>24</v>
      </c>
      <c r="G5725" t="s">
        <v>17</v>
      </c>
      <c r="H5725">
        <f>82746*(1.01^10)</f>
        <v>91403.062389275554</v>
      </c>
      <c r="I5725">
        <f>336224*(1.01^10)</f>
        <v>371400.46949425689</v>
      </c>
      <c r="J5725" t="s">
        <v>17448</v>
      </c>
      <c r="K5725">
        <f t="shared" si="89"/>
        <v>711.64511581800173</v>
      </c>
    </row>
    <row r="5726" spans="1:11" x14ac:dyDescent="0.2">
      <c r="A5726" t="s">
        <v>103</v>
      </c>
      <c r="B5726" t="s">
        <v>1479</v>
      </c>
      <c r="C5726" t="s">
        <v>17449</v>
      </c>
      <c r="D5726" t="s">
        <v>17450</v>
      </c>
      <c r="E5726" t="s">
        <v>405</v>
      </c>
      <c r="F5726" t="s">
        <v>24</v>
      </c>
      <c r="G5726" t="s">
        <v>17</v>
      </c>
      <c r="H5726">
        <f>58770*(1.01^10)</f>
        <v>64918.642310416501</v>
      </c>
      <c r="I5726">
        <f>238403*(1.01^10)</f>
        <v>263345.22856440744</v>
      </c>
      <c r="J5726" t="s">
        <v>17451</v>
      </c>
      <c r="K5726">
        <f t="shared" si="89"/>
        <v>283.80471011672194</v>
      </c>
    </row>
    <row r="5727" spans="1:11" x14ac:dyDescent="0.2">
      <c r="A5727" t="s">
        <v>103</v>
      </c>
      <c r="B5727" t="s">
        <v>3727</v>
      </c>
      <c r="C5727" t="s">
        <v>17452</v>
      </c>
      <c r="D5727" t="s">
        <v>17453</v>
      </c>
      <c r="E5727" t="s">
        <v>382</v>
      </c>
      <c r="F5727" t="s">
        <v>24</v>
      </c>
      <c r="G5727" t="s">
        <v>24</v>
      </c>
      <c r="H5727">
        <f>45480*(1.01^10)</f>
        <v>50238.214263701593</v>
      </c>
      <c r="I5727">
        <f>177621*(1.01^10)</f>
        <v>196204.08653766359</v>
      </c>
      <c r="J5727" t="s">
        <v>17454</v>
      </c>
      <c r="K5727">
        <f t="shared" si="89"/>
        <v>186.4898312289495</v>
      </c>
    </row>
    <row r="5728" spans="1:11" x14ac:dyDescent="0.2">
      <c r="A5728" t="s">
        <v>103</v>
      </c>
      <c r="B5728" t="s">
        <v>3727</v>
      </c>
      <c r="C5728" t="s">
        <v>17455</v>
      </c>
      <c r="D5728" t="s">
        <v>17456</v>
      </c>
      <c r="E5728" t="s">
        <v>61</v>
      </c>
      <c r="F5728" t="s">
        <v>24</v>
      </c>
      <c r="G5728" t="s">
        <v>24</v>
      </c>
      <c r="H5728">
        <f>109322*(1.01^10)</f>
        <v>120759.49999420372</v>
      </c>
      <c r="I5728">
        <f>429780*(1.01^10)</f>
        <v>474744.49705922755</v>
      </c>
      <c r="J5728" t="s">
        <v>17457</v>
      </c>
      <c r="K5728">
        <f t="shared" si="89"/>
        <v>440.74948897461542</v>
      </c>
    </row>
    <row r="5729" spans="1:11" x14ac:dyDescent="0.2">
      <c r="A5729" t="s">
        <v>103</v>
      </c>
      <c r="B5729" t="s">
        <v>3727</v>
      </c>
      <c r="C5729" t="s">
        <v>17458</v>
      </c>
      <c r="D5729" t="s">
        <v>17459</v>
      </c>
      <c r="E5729" t="s">
        <v>356</v>
      </c>
      <c r="F5729" t="s">
        <v>24</v>
      </c>
      <c r="G5729" t="s">
        <v>12</v>
      </c>
      <c r="H5729">
        <f>80784*(1.01^10)</f>
        <v>89235.793779218759</v>
      </c>
      <c r="I5729">
        <f>325951*(1.01^10)</f>
        <v>360052.68639990757</v>
      </c>
      <c r="J5729" t="s">
        <v>17460</v>
      </c>
      <c r="K5729">
        <f t="shared" si="89"/>
        <v>406.87137558892522</v>
      </c>
    </row>
    <row r="5730" spans="1:11" x14ac:dyDescent="0.2">
      <c r="A5730" t="s">
        <v>103</v>
      </c>
      <c r="B5730" t="s">
        <v>3727</v>
      </c>
      <c r="C5730" t="s">
        <v>17461</v>
      </c>
      <c r="D5730" t="s">
        <v>17462</v>
      </c>
      <c r="E5730" t="s">
        <v>405</v>
      </c>
      <c r="F5730" t="s">
        <v>24</v>
      </c>
      <c r="G5730" t="s">
        <v>24</v>
      </c>
      <c r="H5730">
        <f>44226*(1.01^10)</f>
        <v>48853.018118435939</v>
      </c>
      <c r="I5730">
        <f>175622*(1.01^10)</f>
        <v>193995.94690896661</v>
      </c>
      <c r="J5730" t="s">
        <v>17463</v>
      </c>
      <c r="K5730">
        <f t="shared" si="89"/>
        <v>138.3096967881298</v>
      </c>
    </row>
    <row r="5731" spans="1:11" x14ac:dyDescent="0.2">
      <c r="A5731" t="s">
        <v>103</v>
      </c>
      <c r="B5731" t="s">
        <v>4938</v>
      </c>
      <c r="C5731" t="s">
        <v>17464</v>
      </c>
      <c r="D5731" t="s">
        <v>17465</v>
      </c>
      <c r="E5731" t="s">
        <v>77</v>
      </c>
      <c r="F5731" t="s">
        <v>24</v>
      </c>
      <c r="G5731" t="s">
        <v>17</v>
      </c>
      <c r="H5731">
        <f>97873*(1.01^10)</f>
        <v>108112.68128037085</v>
      </c>
      <c r="I5731">
        <f>406471*(1.01^10)</f>
        <v>448996.85993801779</v>
      </c>
      <c r="J5731" t="s">
        <v>17466</v>
      </c>
      <c r="K5731">
        <f t="shared" si="89"/>
        <v>648.03403275989058</v>
      </c>
    </row>
    <row r="5732" spans="1:11" x14ac:dyDescent="0.2">
      <c r="A5732" t="s">
        <v>103</v>
      </c>
      <c r="B5732" t="s">
        <v>4938</v>
      </c>
      <c r="C5732" t="s">
        <v>17467</v>
      </c>
      <c r="D5732" t="s">
        <v>17468</v>
      </c>
      <c r="E5732" t="s">
        <v>44</v>
      </c>
      <c r="F5732" t="s">
        <v>24</v>
      </c>
      <c r="G5732" t="s">
        <v>12</v>
      </c>
      <c r="H5732">
        <f>76876*(1.01^10)</f>
        <v>84918.930513111773</v>
      </c>
      <c r="I5732">
        <f>310414*(1.01^10)</f>
        <v>342890.17243739369</v>
      </c>
      <c r="J5732" t="s">
        <v>17469</v>
      </c>
      <c r="K5732">
        <f t="shared" si="89"/>
        <v>1073.8809033429179</v>
      </c>
    </row>
    <row r="5733" spans="1:11" x14ac:dyDescent="0.2">
      <c r="A5733" t="s">
        <v>103</v>
      </c>
      <c r="B5733" t="s">
        <v>4938</v>
      </c>
      <c r="C5733" t="s">
        <v>17470</v>
      </c>
      <c r="D5733" t="s">
        <v>17471</v>
      </c>
      <c r="E5733" t="s">
        <v>44</v>
      </c>
      <c r="F5733" t="s">
        <v>24</v>
      </c>
      <c r="G5733" t="s">
        <v>405</v>
      </c>
      <c r="H5733">
        <f>157693*(1.01^10)</f>
        <v>174191.1768224691</v>
      </c>
      <c r="I5733">
        <f>631885*(1.01^10)</f>
        <v>697994.15171545907</v>
      </c>
      <c r="J5733" t="s">
        <v>17472</v>
      </c>
      <c r="K5733">
        <f t="shared" si="89"/>
        <v>1396.2954884383746</v>
      </c>
    </row>
    <row r="5734" spans="1:11" x14ac:dyDescent="0.2">
      <c r="A5734" t="s">
        <v>103</v>
      </c>
      <c r="B5734" t="s">
        <v>4938</v>
      </c>
      <c r="C5734" t="s">
        <v>17473</v>
      </c>
      <c r="D5734" t="s">
        <v>17474</v>
      </c>
      <c r="E5734" t="s">
        <v>108</v>
      </c>
      <c r="F5734" t="s">
        <v>24</v>
      </c>
      <c r="G5734" t="s">
        <v>5</v>
      </c>
      <c r="H5734">
        <f>88683*(1.01^10)</f>
        <v>97961.203947841874</v>
      </c>
      <c r="I5734">
        <f>355736*(1.01^10)</f>
        <v>392953.85640528036</v>
      </c>
      <c r="J5734" t="s">
        <v>17475</v>
      </c>
      <c r="K5734">
        <f t="shared" si="89"/>
        <v>1500.3392631258077</v>
      </c>
    </row>
    <row r="5735" spans="1:11" x14ac:dyDescent="0.2">
      <c r="A5735" t="s">
        <v>103</v>
      </c>
      <c r="B5735" t="s">
        <v>4938</v>
      </c>
      <c r="C5735" t="s">
        <v>17476</v>
      </c>
      <c r="D5735" t="s">
        <v>17477</v>
      </c>
      <c r="E5735" t="s">
        <v>382</v>
      </c>
      <c r="F5735" t="s">
        <v>24</v>
      </c>
      <c r="G5735" t="s">
        <v>24</v>
      </c>
      <c r="H5735">
        <f>66171*(1.01^10)</f>
        <v>73093.950660584829</v>
      </c>
      <c r="I5735">
        <f>270045*(1.01^10)</f>
        <v>298297.68185666879</v>
      </c>
      <c r="J5735" t="s">
        <v>17478</v>
      </c>
      <c r="K5735">
        <f t="shared" si="89"/>
        <v>707.75543183777916</v>
      </c>
    </row>
    <row r="5736" spans="1:11" x14ac:dyDescent="0.2">
      <c r="A5736" t="s">
        <v>103</v>
      </c>
      <c r="B5736" t="s">
        <v>2817</v>
      </c>
      <c r="C5736" t="s">
        <v>17479</v>
      </c>
      <c r="D5736" t="s">
        <v>17480</v>
      </c>
      <c r="E5736" t="s">
        <v>152</v>
      </c>
      <c r="F5736" t="s">
        <v>24</v>
      </c>
      <c r="G5736" t="s">
        <v>458</v>
      </c>
      <c r="H5736">
        <f>132772*(1.01^10)</f>
        <v>146662.88883509647</v>
      </c>
      <c r="I5736">
        <f>542657*(1.01^10)</f>
        <v>599430.9287092681</v>
      </c>
      <c r="J5736" t="s">
        <v>17481</v>
      </c>
      <c r="K5736">
        <f t="shared" si="89"/>
        <v>1850.838079196184</v>
      </c>
    </row>
    <row r="5737" spans="1:11" x14ac:dyDescent="0.2">
      <c r="A5737" t="s">
        <v>103</v>
      </c>
      <c r="B5737" t="s">
        <v>2817</v>
      </c>
      <c r="C5737" t="s">
        <v>17482</v>
      </c>
      <c r="D5737" t="s">
        <v>17483</v>
      </c>
      <c r="E5737" t="s">
        <v>92</v>
      </c>
      <c r="F5737" t="s">
        <v>12</v>
      </c>
      <c r="G5737" t="s">
        <v>5</v>
      </c>
      <c r="H5737">
        <f>109411*(1.01^10)</f>
        <v>120857.81136336533</v>
      </c>
      <c r="I5737">
        <f>454864*(1.01^10)</f>
        <v>502452.83845304226</v>
      </c>
      <c r="J5737" t="s">
        <v>17484</v>
      </c>
      <c r="K5737">
        <f t="shared" si="89"/>
        <v>2657.4963688212952</v>
      </c>
    </row>
    <row r="5738" spans="1:11" x14ac:dyDescent="0.2">
      <c r="A5738" t="s">
        <v>103</v>
      </c>
      <c r="B5738" t="s">
        <v>2817</v>
      </c>
      <c r="C5738" t="s">
        <v>17485</v>
      </c>
      <c r="D5738" t="s">
        <v>17486</v>
      </c>
      <c r="E5738" t="s">
        <v>318</v>
      </c>
      <c r="F5738" t="s">
        <v>24</v>
      </c>
      <c r="G5738" t="s">
        <v>24</v>
      </c>
      <c r="H5738">
        <f>47416*(1.01^10)</f>
        <v>52376.762698497681</v>
      </c>
      <c r="I5738">
        <f>193007*(1.01^10)</f>
        <v>213199.8025592404</v>
      </c>
      <c r="J5738" t="s">
        <v>17487</v>
      </c>
      <c r="K5738">
        <f t="shared" si="89"/>
        <v>736.72138829690175</v>
      </c>
    </row>
    <row r="5739" spans="1:11" x14ac:dyDescent="0.2">
      <c r="A5739" t="s">
        <v>103</v>
      </c>
      <c r="B5739" t="s">
        <v>2817</v>
      </c>
      <c r="C5739" t="s">
        <v>17488</v>
      </c>
      <c r="D5739" t="s">
        <v>17489</v>
      </c>
      <c r="E5739" t="s">
        <v>158</v>
      </c>
      <c r="F5739" t="s">
        <v>24</v>
      </c>
      <c r="G5739" t="s">
        <v>382</v>
      </c>
      <c r="H5739">
        <f>104723*(1.01^10)</f>
        <v>115679.3428394376</v>
      </c>
      <c r="I5739">
        <f>406524*(1.01^10)</f>
        <v>449055.4049106646</v>
      </c>
      <c r="J5739" t="s">
        <v>17490</v>
      </c>
      <c r="K5739">
        <f t="shared" si="89"/>
        <v>2023.9572944096299</v>
      </c>
    </row>
    <row r="5740" spans="1:11" x14ac:dyDescent="0.2">
      <c r="A5740" t="s">
        <v>103</v>
      </c>
      <c r="B5740" t="s">
        <v>2817</v>
      </c>
      <c r="C5740" t="s">
        <v>17491</v>
      </c>
      <c r="D5740" t="s">
        <v>17492</v>
      </c>
      <c r="E5740" t="s">
        <v>744</v>
      </c>
      <c r="F5740" t="s">
        <v>24</v>
      </c>
      <c r="G5740" t="s">
        <v>11</v>
      </c>
      <c r="H5740">
        <f>53005*(1.01^10)</f>
        <v>58550.495757420911</v>
      </c>
      <c r="I5740">
        <f>197419*(1.01^10)</f>
        <v>218073.39537655463</v>
      </c>
      <c r="J5740" t="s">
        <v>17493</v>
      </c>
      <c r="K5740">
        <f t="shared" si="89"/>
        <v>1537.1353730637529</v>
      </c>
    </row>
    <row r="5741" spans="1:11" x14ac:dyDescent="0.2">
      <c r="A5741" t="s">
        <v>103</v>
      </c>
      <c r="B5741" t="s">
        <v>2817</v>
      </c>
      <c r="C5741" t="s">
        <v>17494</v>
      </c>
      <c r="D5741" t="s">
        <v>17495</v>
      </c>
      <c r="E5741" t="s">
        <v>744</v>
      </c>
      <c r="F5741" t="s">
        <v>24</v>
      </c>
      <c r="G5741" t="s">
        <v>158</v>
      </c>
      <c r="H5741">
        <f>88631*(1.01^10)</f>
        <v>97903.763597320489</v>
      </c>
      <c r="I5741">
        <f>333318*(1.01^10)</f>
        <v>368190.43759781192</v>
      </c>
      <c r="J5741" t="s">
        <v>17496</v>
      </c>
      <c r="K5741">
        <f t="shared" si="89"/>
        <v>1554.5956662633505</v>
      </c>
    </row>
    <row r="5742" spans="1:11" x14ac:dyDescent="0.2">
      <c r="A5742" t="s">
        <v>103</v>
      </c>
      <c r="B5742" t="s">
        <v>17090</v>
      </c>
      <c r="C5742" t="s">
        <v>17497</v>
      </c>
      <c r="D5742" t="s">
        <v>17498</v>
      </c>
      <c r="E5742" t="s">
        <v>405</v>
      </c>
      <c r="F5742" t="s">
        <v>24</v>
      </c>
      <c r="G5742" t="s">
        <v>12</v>
      </c>
      <c r="H5742">
        <f>59551*(1.01^10)</f>
        <v>65781.352190362653</v>
      </c>
      <c r="I5742">
        <f>223503*(1.01^10)</f>
        <v>246886.35889578049</v>
      </c>
      <c r="J5742" t="s">
        <v>17499</v>
      </c>
      <c r="K5742">
        <f t="shared" si="89"/>
        <v>1624.7868305086024</v>
      </c>
    </row>
    <row r="5743" spans="1:11" x14ac:dyDescent="0.2">
      <c r="A5743" t="s">
        <v>103</v>
      </c>
      <c r="B5743" t="s">
        <v>17090</v>
      </c>
      <c r="C5743" t="s">
        <v>17500</v>
      </c>
      <c r="D5743" t="s">
        <v>17501</v>
      </c>
      <c r="E5743" t="s">
        <v>744</v>
      </c>
      <c r="F5743" t="s">
        <v>24</v>
      </c>
      <c r="G5743" t="s">
        <v>24</v>
      </c>
      <c r="H5743">
        <f>35532*(1.01^10)</f>
        <v>39249.433360110925</v>
      </c>
      <c r="I5743">
        <f>134219*(1.01^10)</f>
        <v>148261.27705056648</v>
      </c>
      <c r="J5743" t="s">
        <v>17502</v>
      </c>
      <c r="K5743">
        <f t="shared" si="89"/>
        <v>878.16902831585901</v>
      </c>
    </row>
    <row r="5744" spans="1:11" x14ac:dyDescent="0.2">
      <c r="A5744" t="s">
        <v>103</v>
      </c>
      <c r="B5744" t="s">
        <v>17090</v>
      </c>
      <c r="C5744" t="s">
        <v>17503</v>
      </c>
      <c r="D5744" t="s">
        <v>17504</v>
      </c>
      <c r="E5744" t="s">
        <v>108</v>
      </c>
      <c r="F5744" t="s">
        <v>24</v>
      </c>
      <c r="G5744" t="s">
        <v>24</v>
      </c>
      <c r="H5744">
        <f>53172*(1.01^10)</f>
        <v>58734.967652364576</v>
      </c>
      <c r="I5744">
        <f>198194*(1.01^10)</f>
        <v>218929.47752374833</v>
      </c>
      <c r="J5744" t="s">
        <v>17505</v>
      </c>
      <c r="K5744">
        <f t="shared" si="89"/>
        <v>208.52213763441466</v>
      </c>
    </row>
    <row r="5745" spans="1:11" x14ac:dyDescent="0.2">
      <c r="A5745" t="s">
        <v>103</v>
      </c>
      <c r="B5745" t="s">
        <v>17090</v>
      </c>
      <c r="C5745" t="s">
        <v>17506</v>
      </c>
      <c r="D5745" t="s">
        <v>17507</v>
      </c>
      <c r="E5745" t="s">
        <v>422</v>
      </c>
      <c r="F5745" t="s">
        <v>24</v>
      </c>
      <c r="G5745" t="s">
        <v>17</v>
      </c>
      <c r="H5745">
        <f>92825*(1.01^10)</f>
        <v>102536.54879129508</v>
      </c>
      <c r="I5745">
        <f>338560*(1.01^10)</f>
        <v>373980.8667792175</v>
      </c>
      <c r="J5745" t="s">
        <v>17508</v>
      </c>
      <c r="K5745">
        <f t="shared" si="89"/>
        <v>368.31979158259304</v>
      </c>
    </row>
    <row r="5746" spans="1:11" x14ac:dyDescent="0.2">
      <c r="A5746" t="s">
        <v>103</v>
      </c>
      <c r="B5746" t="s">
        <v>17090</v>
      </c>
      <c r="C5746" t="s">
        <v>17509</v>
      </c>
      <c r="D5746" t="s">
        <v>17510</v>
      </c>
      <c r="E5746" t="s">
        <v>318</v>
      </c>
      <c r="F5746" t="s">
        <v>24</v>
      </c>
      <c r="G5746" t="s">
        <v>12</v>
      </c>
      <c r="H5746">
        <f>81604*(1.01^10)</f>
        <v>90141.583922055957</v>
      </c>
      <c r="I5746">
        <f>302936*(1.01^10)</f>
        <v>334629.8081835687</v>
      </c>
      <c r="J5746" t="s">
        <v>17511</v>
      </c>
      <c r="K5746">
        <f t="shared" si="89"/>
        <v>1084.4534730646812</v>
      </c>
    </row>
    <row r="5747" spans="1:11" x14ac:dyDescent="0.2">
      <c r="A5747" t="s">
        <v>103</v>
      </c>
      <c r="B5747" t="s">
        <v>3085</v>
      </c>
      <c r="C5747" t="s">
        <v>17512</v>
      </c>
      <c r="D5747" t="s">
        <v>17513</v>
      </c>
      <c r="E5747" t="s">
        <v>158</v>
      </c>
      <c r="F5747" t="s">
        <v>24</v>
      </c>
      <c r="G5747" t="s">
        <v>405</v>
      </c>
      <c r="H5747">
        <f>106937*(1.01^10)</f>
        <v>118124.976225098</v>
      </c>
      <c r="I5747">
        <f>428802*(1.01^10)</f>
        <v>473664.17662057542</v>
      </c>
      <c r="J5747" t="s">
        <v>17514</v>
      </c>
      <c r="K5747">
        <f t="shared" si="89"/>
        <v>2625.3418502415225</v>
      </c>
    </row>
    <row r="5748" spans="1:11" x14ac:dyDescent="0.2">
      <c r="A5748" t="s">
        <v>103</v>
      </c>
      <c r="B5748" t="s">
        <v>3085</v>
      </c>
      <c r="C5748" t="s">
        <v>17515</v>
      </c>
      <c r="D5748" t="s">
        <v>17516</v>
      </c>
      <c r="E5748" t="s">
        <v>6</v>
      </c>
      <c r="F5748" t="s">
        <v>24</v>
      </c>
      <c r="G5748" t="s">
        <v>24</v>
      </c>
      <c r="H5748">
        <f>50624*(1.01^10)</f>
        <v>55920.390476816829</v>
      </c>
      <c r="I5748">
        <f>199456*(1.01^10)</f>
        <v>220323.51064601727</v>
      </c>
      <c r="J5748" t="s">
        <v>17517</v>
      </c>
      <c r="K5748">
        <f t="shared" si="89"/>
        <v>1595.6221802289779</v>
      </c>
    </row>
    <row r="5749" spans="1:11" x14ac:dyDescent="0.2">
      <c r="A5749" t="s">
        <v>103</v>
      </c>
      <c r="B5749" t="s">
        <v>3085</v>
      </c>
      <c r="C5749" t="s">
        <v>17518</v>
      </c>
      <c r="D5749" t="s">
        <v>17519</v>
      </c>
      <c r="E5749" t="s">
        <v>796</v>
      </c>
      <c r="F5749" t="s">
        <v>24</v>
      </c>
      <c r="G5749" t="s">
        <v>12</v>
      </c>
      <c r="H5749">
        <f>115661*(1.01^10)</f>
        <v>127761.69964718535</v>
      </c>
      <c r="I5749">
        <f>432904*(1.01^10)</f>
        <v>478195.33657901216</v>
      </c>
      <c r="J5749" t="s">
        <v>17520</v>
      </c>
      <c r="K5749">
        <f t="shared" si="89"/>
        <v>387.04287021473897</v>
      </c>
    </row>
    <row r="5750" spans="1:11" x14ac:dyDescent="0.2">
      <c r="A5750" t="s">
        <v>103</v>
      </c>
      <c r="B5750" t="s">
        <v>3085</v>
      </c>
      <c r="C5750" t="s">
        <v>17521</v>
      </c>
      <c r="D5750" t="s">
        <v>17522</v>
      </c>
      <c r="E5750" t="s">
        <v>427</v>
      </c>
      <c r="F5750" t="s">
        <v>24</v>
      </c>
      <c r="G5750" t="s">
        <v>12</v>
      </c>
      <c r="H5750">
        <f>152944*(1.01^10)</f>
        <v>168945.32634889131</v>
      </c>
      <c r="I5750">
        <f>586434*(1.01^10)</f>
        <v>647787.97149339446</v>
      </c>
      <c r="J5750" t="s">
        <v>17523</v>
      </c>
      <c r="K5750">
        <f t="shared" si="89"/>
        <v>1176.5769502395597</v>
      </c>
    </row>
    <row r="5751" spans="1:11" x14ac:dyDescent="0.2">
      <c r="A5751" t="s">
        <v>103</v>
      </c>
      <c r="B5751" t="s">
        <v>3085</v>
      </c>
      <c r="C5751" t="s">
        <v>17524</v>
      </c>
      <c r="D5751" t="s">
        <v>17525</v>
      </c>
      <c r="E5751" t="s">
        <v>152</v>
      </c>
      <c r="F5751" t="s">
        <v>24</v>
      </c>
      <c r="G5751" t="s">
        <v>274</v>
      </c>
      <c r="H5751">
        <f>243209*(1.01^10)</f>
        <v>268654.04249913368</v>
      </c>
      <c r="I5751">
        <f>987779*(1.01^10)</f>
        <v>1091122.5384165545</v>
      </c>
      <c r="J5751" t="s">
        <v>17526</v>
      </c>
      <c r="K5751">
        <f t="shared" si="89"/>
        <v>2869.789164978708</v>
      </c>
    </row>
    <row r="5752" spans="1:11" x14ac:dyDescent="0.2">
      <c r="A5752" t="s">
        <v>103</v>
      </c>
      <c r="B5752" t="s">
        <v>1142</v>
      </c>
      <c r="C5752" t="s">
        <v>17527</v>
      </c>
      <c r="D5752" t="s">
        <v>17528</v>
      </c>
      <c r="E5752" t="s">
        <v>1340</v>
      </c>
      <c r="F5752" t="s">
        <v>24</v>
      </c>
      <c r="G5752" t="s">
        <v>152</v>
      </c>
      <c r="H5752">
        <f>158980*(1.01^10)</f>
        <v>175612.82549787333</v>
      </c>
      <c r="I5752">
        <f>634270*(1.01^10)</f>
        <v>700628.67548456485</v>
      </c>
      <c r="J5752" t="s">
        <v>17529</v>
      </c>
      <c r="K5752">
        <f t="shared" si="89"/>
        <v>1840.4662064846193</v>
      </c>
    </row>
    <row r="5753" spans="1:11" x14ac:dyDescent="0.2">
      <c r="A5753" t="s">
        <v>103</v>
      </c>
      <c r="B5753" t="s">
        <v>1142</v>
      </c>
      <c r="C5753" t="s">
        <v>17530</v>
      </c>
      <c r="D5753" t="s">
        <v>17531</v>
      </c>
      <c r="E5753" t="s">
        <v>726</v>
      </c>
      <c r="F5753" t="s">
        <v>24</v>
      </c>
      <c r="G5753" t="s">
        <v>11</v>
      </c>
      <c r="H5753">
        <f>169220*(1.01^10)</f>
        <v>186924.15606208408</v>
      </c>
      <c r="I5753">
        <f>645326*(1.01^10)</f>
        <v>712841.37770311115</v>
      </c>
      <c r="J5753" t="s">
        <v>17532</v>
      </c>
      <c r="K5753">
        <f t="shared" si="89"/>
        <v>769.16751481285667</v>
      </c>
    </row>
    <row r="5754" spans="1:11" x14ac:dyDescent="0.2">
      <c r="A5754" t="s">
        <v>103</v>
      </c>
      <c r="B5754" t="s">
        <v>1142</v>
      </c>
      <c r="C5754" t="s">
        <v>17533</v>
      </c>
      <c r="D5754" t="s">
        <v>17534</v>
      </c>
      <c r="E5754" t="s">
        <v>92</v>
      </c>
      <c r="F5754" t="s">
        <v>24</v>
      </c>
      <c r="G5754" t="s">
        <v>405</v>
      </c>
      <c r="H5754">
        <f>286141*(1.01^10)</f>
        <v>316077.67958728754</v>
      </c>
      <c r="I5754">
        <f>1140845*(1.01^10)</f>
        <v>1260202.6286647459</v>
      </c>
      <c r="J5754" t="s">
        <v>17535</v>
      </c>
      <c r="K5754">
        <f t="shared" si="89"/>
        <v>4097.5536617289736</v>
      </c>
    </row>
    <row r="5755" spans="1:11" x14ac:dyDescent="0.2">
      <c r="A5755" t="s">
        <v>103</v>
      </c>
      <c r="B5755" t="s">
        <v>1142</v>
      </c>
      <c r="C5755" t="s">
        <v>17536</v>
      </c>
      <c r="D5755" t="s">
        <v>17537</v>
      </c>
      <c r="E5755" t="s">
        <v>445</v>
      </c>
      <c r="F5755" t="s">
        <v>24</v>
      </c>
      <c r="G5755" t="s">
        <v>405</v>
      </c>
      <c r="H5755">
        <f>223536*(1.01^10)</f>
        <v>246922.81142591906</v>
      </c>
      <c r="I5755">
        <f>880986*(1.01^10)</f>
        <v>973156.62777751568</v>
      </c>
      <c r="J5755" t="s">
        <v>17538</v>
      </c>
      <c r="K5755">
        <f t="shared" si="89"/>
        <v>1704.5709967902396</v>
      </c>
    </row>
    <row r="5756" spans="1:11" x14ac:dyDescent="0.2">
      <c r="A5756" t="s">
        <v>97</v>
      </c>
      <c r="B5756" t="s">
        <v>3411</v>
      </c>
      <c r="C5756" t="s">
        <v>17539</v>
      </c>
      <c r="D5756" t="s">
        <v>17540</v>
      </c>
      <c r="E5756" t="s">
        <v>1054</v>
      </c>
      <c r="F5756" t="s">
        <v>5</v>
      </c>
      <c r="G5756" t="s">
        <v>11</v>
      </c>
      <c r="H5756">
        <f>50144*(1.01^10)</f>
        <v>55390.171856619454</v>
      </c>
      <c r="I5756">
        <f>190541*(1.01^10)</f>
        <v>210475.80439797638</v>
      </c>
      <c r="J5756" t="s">
        <v>17541</v>
      </c>
      <c r="K5756">
        <f t="shared" si="89"/>
        <v>494.68695073723893</v>
      </c>
    </row>
    <row r="5757" spans="1:11" x14ac:dyDescent="0.2">
      <c r="A5757" t="s">
        <v>97</v>
      </c>
      <c r="B5757" t="s">
        <v>3411</v>
      </c>
      <c r="C5757" t="s">
        <v>17542</v>
      </c>
      <c r="D5757" t="s">
        <v>17543</v>
      </c>
      <c r="E5757" t="s">
        <v>761</v>
      </c>
      <c r="F5757" t="s">
        <v>405</v>
      </c>
      <c r="G5757" t="s">
        <v>152</v>
      </c>
      <c r="H5757">
        <f>100866*(1.01^10)</f>
        <v>111418.81530172657</v>
      </c>
      <c r="I5757">
        <f>389862*(1.01^10)</f>
        <v>430650.19105706312</v>
      </c>
      <c r="J5757" t="s">
        <v>17544</v>
      </c>
      <c r="K5757">
        <f t="shared" si="89"/>
        <v>638.52915522362446</v>
      </c>
    </row>
    <row r="5758" spans="1:11" x14ac:dyDescent="0.2">
      <c r="A5758" t="s">
        <v>97</v>
      </c>
      <c r="B5758" t="s">
        <v>3411</v>
      </c>
      <c r="C5758" t="s">
        <v>17545</v>
      </c>
      <c r="D5758" t="s">
        <v>17546</v>
      </c>
      <c r="E5758" t="s">
        <v>1060</v>
      </c>
      <c r="F5758" t="s">
        <v>152</v>
      </c>
      <c r="G5758" t="s">
        <v>12</v>
      </c>
      <c r="H5758">
        <f>40313*(1.01^10)</f>
        <v>44530.631741701894</v>
      </c>
      <c r="I5758">
        <f>152631*(1.01^10)</f>
        <v>168599.5796236376</v>
      </c>
      <c r="J5758" t="s">
        <v>17547</v>
      </c>
      <c r="K5758">
        <f t="shared" si="89"/>
        <v>456.1715426796145</v>
      </c>
    </row>
    <row r="5759" spans="1:11" x14ac:dyDescent="0.2">
      <c r="A5759" t="s">
        <v>97</v>
      </c>
      <c r="B5759" t="s">
        <v>3411</v>
      </c>
      <c r="C5759" t="s">
        <v>17548</v>
      </c>
      <c r="D5759" t="s">
        <v>17549</v>
      </c>
      <c r="E5759" t="s">
        <v>137</v>
      </c>
      <c r="F5759" t="s">
        <v>24</v>
      </c>
      <c r="G5759" t="s">
        <v>12</v>
      </c>
      <c r="H5759">
        <f>52490*(1.01^10)</f>
        <v>57981.615362834134</v>
      </c>
      <c r="I5759">
        <f>211291*(1.01^10)</f>
        <v>233396.71350025886</v>
      </c>
      <c r="J5759" t="s">
        <v>17550</v>
      </c>
      <c r="K5759">
        <f t="shared" si="89"/>
        <v>521.13619270069978</v>
      </c>
    </row>
    <row r="5760" spans="1:11" x14ac:dyDescent="0.2">
      <c r="A5760" t="s">
        <v>97</v>
      </c>
      <c r="B5760" t="s">
        <v>3411</v>
      </c>
      <c r="C5760" t="s">
        <v>17551</v>
      </c>
      <c r="D5760" t="s">
        <v>17552</v>
      </c>
      <c r="E5760" t="s">
        <v>142</v>
      </c>
      <c r="F5760" t="s">
        <v>12</v>
      </c>
      <c r="G5760" t="s">
        <v>158</v>
      </c>
      <c r="H5760">
        <f>49317*(1.01^10)</f>
        <v>54476.649358904382</v>
      </c>
      <c r="I5760">
        <f>214073*(1.01^10)</f>
        <v>236469.77225315283</v>
      </c>
      <c r="J5760" t="s">
        <v>17553</v>
      </c>
      <c r="K5760">
        <f t="shared" si="89"/>
        <v>673.60964090243499</v>
      </c>
    </row>
    <row r="5761" spans="1:11" x14ac:dyDescent="0.2">
      <c r="A5761" t="s">
        <v>97</v>
      </c>
      <c r="B5761" t="s">
        <v>3411</v>
      </c>
      <c r="C5761" t="s">
        <v>17555</v>
      </c>
      <c r="D5761" t="s">
        <v>17556</v>
      </c>
      <c r="E5761" t="s">
        <v>1295</v>
      </c>
      <c r="F5761" t="s">
        <v>92</v>
      </c>
      <c r="G5761" t="s">
        <v>158</v>
      </c>
      <c r="H5761">
        <f>103241*(1.01^10)</f>
        <v>114042.2928495782</v>
      </c>
      <c r="I5761">
        <f>407048*(1.01^10)</f>
        <v>449634.22690438008</v>
      </c>
      <c r="J5761" t="s">
        <v>17557</v>
      </c>
      <c r="K5761">
        <f t="shared" si="89"/>
        <v>674.03146201834602</v>
      </c>
    </row>
    <row r="5762" spans="1:11" x14ac:dyDescent="0.2">
      <c r="A5762" t="s">
        <v>97</v>
      </c>
      <c r="B5762" t="s">
        <v>3411</v>
      </c>
      <c r="C5762" t="s">
        <v>17558</v>
      </c>
      <c r="D5762" t="s">
        <v>17559</v>
      </c>
      <c r="E5762" t="s">
        <v>726</v>
      </c>
      <c r="F5762" t="s">
        <v>5</v>
      </c>
      <c r="G5762" t="s">
        <v>108</v>
      </c>
      <c r="H5762">
        <f>168063*(1.01^10)</f>
        <v>185646.1082629833</v>
      </c>
      <c r="I5762">
        <f>659922*(1.01^10)</f>
        <v>728964.44224561309</v>
      </c>
      <c r="J5762" t="s">
        <v>17560</v>
      </c>
      <c r="K5762">
        <f t="shared" si="89"/>
        <v>4818.6127040386355</v>
      </c>
    </row>
    <row r="5763" spans="1:11" x14ac:dyDescent="0.2">
      <c r="A5763" t="s">
        <v>97</v>
      </c>
      <c r="B5763" t="s">
        <v>3411</v>
      </c>
      <c r="C5763" t="s">
        <v>17561</v>
      </c>
      <c r="D5763" t="s">
        <v>17562</v>
      </c>
      <c r="E5763" t="s">
        <v>382</v>
      </c>
      <c r="F5763" t="s">
        <v>24</v>
      </c>
      <c r="G5763" t="s">
        <v>405</v>
      </c>
      <c r="H5763">
        <f>231525*(1.01^10)</f>
        <v>255747.63758582919</v>
      </c>
      <c r="I5763">
        <f>906580*(1.01^10)</f>
        <v>1001428.32645529</v>
      </c>
      <c r="J5763" t="s">
        <v>17563</v>
      </c>
      <c r="K5763">
        <f t="shared" ref="K5763:K5826" si="90">I5763/J5763</f>
        <v>5550.3768116598103</v>
      </c>
    </row>
    <row r="5764" spans="1:11" x14ac:dyDescent="0.2">
      <c r="A5764" t="s">
        <v>97</v>
      </c>
      <c r="B5764" t="s">
        <v>3411</v>
      </c>
      <c r="C5764" t="s">
        <v>17564</v>
      </c>
      <c r="D5764" t="s">
        <v>17565</v>
      </c>
      <c r="E5764" t="s">
        <v>318</v>
      </c>
      <c r="F5764" t="s">
        <v>11</v>
      </c>
      <c r="G5764" t="s">
        <v>382</v>
      </c>
      <c r="H5764">
        <f>150990*(1.01^10)</f>
        <v>166786.89471583781</v>
      </c>
      <c r="I5764">
        <f>596156*(1.01^10)</f>
        <v>658527.10779664223</v>
      </c>
      <c r="J5764" t="s">
        <v>17566</v>
      </c>
      <c r="K5764">
        <f t="shared" si="90"/>
        <v>5193.7872297326176</v>
      </c>
    </row>
    <row r="5765" spans="1:11" x14ac:dyDescent="0.2">
      <c r="A5765" t="s">
        <v>97</v>
      </c>
      <c r="B5765" t="s">
        <v>17567</v>
      </c>
      <c r="C5765" s="7" t="s">
        <v>18247</v>
      </c>
      <c r="D5765" t="s">
        <v>6485</v>
      </c>
      <c r="E5765" t="s">
        <v>24</v>
      </c>
      <c r="F5765" t="s">
        <v>24</v>
      </c>
      <c r="G5765" t="s">
        <v>12</v>
      </c>
      <c r="H5765">
        <f>1154982*(1.01^10)</f>
        <v>1275818.671651684</v>
      </c>
      <c r="I5765">
        <f>4646732*(1.01^10)</f>
        <v>5132882.9780562585</v>
      </c>
      <c r="J5765" t="s">
        <v>676</v>
      </c>
      <c r="K5765">
        <f t="shared" si="90"/>
        <v>29330.759874607193</v>
      </c>
    </row>
    <row r="5766" spans="1:11" x14ac:dyDescent="0.2">
      <c r="A5766" t="s">
        <v>97</v>
      </c>
      <c r="B5766" t="s">
        <v>5103</v>
      </c>
      <c r="C5766" t="s">
        <v>17568</v>
      </c>
      <c r="D5766" t="s">
        <v>17569</v>
      </c>
      <c r="E5766" t="s">
        <v>390</v>
      </c>
      <c r="F5766" t="s">
        <v>458</v>
      </c>
      <c r="G5766" t="s">
        <v>274</v>
      </c>
      <c r="H5766">
        <f>125938*(1.01^10)</f>
        <v>139113.90123003631</v>
      </c>
      <c r="I5766">
        <f>510836*(1.01^10)</f>
        <v>564280.74805655819</v>
      </c>
      <c r="J5766" t="s">
        <v>17570</v>
      </c>
      <c r="K5766">
        <f t="shared" si="90"/>
        <v>878.53967666227663</v>
      </c>
    </row>
    <row r="5767" spans="1:11" x14ac:dyDescent="0.2">
      <c r="A5767" t="s">
        <v>97</v>
      </c>
      <c r="B5767" t="s">
        <v>5103</v>
      </c>
      <c r="C5767" t="s">
        <v>17571</v>
      </c>
      <c r="D5767" t="s">
        <v>17572</v>
      </c>
      <c r="E5767" t="s">
        <v>6</v>
      </c>
      <c r="F5767" t="s">
        <v>24</v>
      </c>
      <c r="G5767" t="s">
        <v>158</v>
      </c>
      <c r="H5767">
        <f>98067*(1.01^10)</f>
        <v>108326.97797270061</v>
      </c>
      <c r="I5767">
        <f>383718*(1.01^10)</f>
        <v>423863.39271853666</v>
      </c>
      <c r="J5767" t="s">
        <v>17573</v>
      </c>
      <c r="K5767">
        <f t="shared" si="90"/>
        <v>6785.9123182819321</v>
      </c>
    </row>
    <row r="5768" spans="1:11" x14ac:dyDescent="0.2">
      <c r="A5768" t="s">
        <v>97</v>
      </c>
      <c r="B5768" t="s">
        <v>5103</v>
      </c>
      <c r="C5768" t="s">
        <v>17574</v>
      </c>
      <c r="D5768" t="s">
        <v>17575</v>
      </c>
      <c r="E5768" t="s">
        <v>24</v>
      </c>
      <c r="F5768" t="s">
        <v>24</v>
      </c>
      <c r="G5768" t="s">
        <v>108</v>
      </c>
      <c r="H5768">
        <f>164765*(1.01^10)</f>
        <v>182003.06449337714</v>
      </c>
      <c r="I5768">
        <f>642237*(1.01^10)</f>
        <v>709429.19995771593</v>
      </c>
      <c r="J5768" t="s">
        <v>17576</v>
      </c>
      <c r="K5768">
        <f t="shared" si="90"/>
        <v>8005.2945154334902</v>
      </c>
    </row>
    <row r="5769" spans="1:11" x14ac:dyDescent="0.2">
      <c r="A5769" t="s">
        <v>97</v>
      </c>
      <c r="B5769" t="s">
        <v>5103</v>
      </c>
      <c r="C5769" t="s">
        <v>17577</v>
      </c>
      <c r="D5769" t="s">
        <v>17578</v>
      </c>
      <c r="E5769" t="s">
        <v>158</v>
      </c>
      <c r="F5769" t="s">
        <v>24</v>
      </c>
      <c r="G5769" t="s">
        <v>318</v>
      </c>
      <c r="H5769">
        <f>143615*(1.01^10)</f>
        <v>158640.30654093018</v>
      </c>
      <c r="I5769">
        <f>563342*(1.01^10)</f>
        <v>622280.0373733989</v>
      </c>
      <c r="J5769" t="s">
        <v>17579</v>
      </c>
      <c r="K5769">
        <f t="shared" si="90"/>
        <v>5355.0981896355197</v>
      </c>
    </row>
    <row r="5770" spans="1:11" x14ac:dyDescent="0.2">
      <c r="A5770" t="s">
        <v>97</v>
      </c>
      <c r="B5770" t="s">
        <v>5103</v>
      </c>
      <c r="C5770" t="s">
        <v>17580</v>
      </c>
      <c r="D5770" t="s">
        <v>17581</v>
      </c>
      <c r="E5770" t="s">
        <v>568</v>
      </c>
      <c r="F5770" t="s">
        <v>313</v>
      </c>
      <c r="G5770" t="s">
        <v>382</v>
      </c>
      <c r="H5770">
        <f>142062*(1.01^10)</f>
        <v>156924.82838016658</v>
      </c>
      <c r="I5770">
        <f>573406*(1.01^10)</f>
        <v>633396.95444353728</v>
      </c>
      <c r="J5770" t="s">
        <v>17582</v>
      </c>
      <c r="K5770">
        <f t="shared" si="90"/>
        <v>814.12390766263081</v>
      </c>
    </row>
    <row r="5771" spans="1:11" x14ac:dyDescent="0.2">
      <c r="A5771" t="s">
        <v>97</v>
      </c>
      <c r="B5771" t="s">
        <v>5103</v>
      </c>
      <c r="C5771" t="s">
        <v>17583</v>
      </c>
      <c r="D5771" t="s">
        <v>17584</v>
      </c>
      <c r="E5771" t="s">
        <v>467</v>
      </c>
      <c r="F5771" t="s">
        <v>744</v>
      </c>
      <c r="G5771" t="s">
        <v>744</v>
      </c>
      <c r="H5771">
        <f>124877*(1.01^10)</f>
        <v>137941.89715497501</v>
      </c>
      <c r="I5771">
        <f>497711*(1.01^10)</f>
        <v>549782.58266053617</v>
      </c>
      <c r="J5771" t="s">
        <v>17585</v>
      </c>
      <c r="K5771">
        <f t="shared" si="90"/>
        <v>864.13776641211064</v>
      </c>
    </row>
    <row r="5772" spans="1:11" x14ac:dyDescent="0.2">
      <c r="A5772" t="s">
        <v>97</v>
      </c>
      <c r="B5772" t="s">
        <v>5103</v>
      </c>
      <c r="C5772" t="s">
        <v>17586</v>
      </c>
      <c r="D5772" t="s">
        <v>17587</v>
      </c>
      <c r="E5772" t="s">
        <v>1215</v>
      </c>
      <c r="F5772" t="s">
        <v>17</v>
      </c>
      <c r="G5772" t="s">
        <v>12</v>
      </c>
      <c r="H5772">
        <f>37075*(1.01^10)</f>
        <v>40953.865299620418</v>
      </c>
      <c r="I5772">
        <f>148133*(1.01^10)</f>
        <v>163630.98930353799</v>
      </c>
      <c r="J5772" t="s">
        <v>17588</v>
      </c>
      <c r="K5772">
        <f t="shared" si="90"/>
        <v>382.80793989834996</v>
      </c>
    </row>
    <row r="5773" spans="1:11" x14ac:dyDescent="0.2">
      <c r="A5773" t="s">
        <v>97</v>
      </c>
      <c r="B5773" t="s">
        <v>5103</v>
      </c>
      <c r="C5773" t="s">
        <v>17589</v>
      </c>
      <c r="D5773" t="s">
        <v>17590</v>
      </c>
      <c r="E5773" t="s">
        <v>36</v>
      </c>
      <c r="F5773" t="s">
        <v>158</v>
      </c>
      <c r="G5773" t="s">
        <v>11</v>
      </c>
      <c r="H5773">
        <f>49599*(1.01^10)</f>
        <v>54788.152798270341</v>
      </c>
      <c r="I5773">
        <f>196897*(1.01^10)</f>
        <v>217496.78262708997</v>
      </c>
      <c r="J5773" t="s">
        <v>17591</v>
      </c>
      <c r="K5773">
        <f t="shared" si="90"/>
        <v>606.37254730067832</v>
      </c>
    </row>
    <row r="5774" spans="1:11" x14ac:dyDescent="0.2">
      <c r="A5774" t="s">
        <v>97</v>
      </c>
      <c r="B5774" t="s">
        <v>5103</v>
      </c>
      <c r="C5774" t="s">
        <v>17592</v>
      </c>
      <c r="D5774" t="s">
        <v>17593</v>
      </c>
      <c r="E5774" t="s">
        <v>2603</v>
      </c>
      <c r="F5774" t="s">
        <v>24</v>
      </c>
      <c r="G5774" t="s">
        <v>11</v>
      </c>
      <c r="H5774">
        <f>69772*(1.01^10)</f>
        <v>77071.694934190571</v>
      </c>
      <c r="I5774">
        <f>275953*(1.01^10)</f>
        <v>304823.78937359818</v>
      </c>
      <c r="J5774" t="s">
        <v>17594</v>
      </c>
      <c r="K5774">
        <f t="shared" si="90"/>
        <v>399.1750197003513</v>
      </c>
    </row>
    <row r="5775" spans="1:11" x14ac:dyDescent="0.2">
      <c r="A5775" t="s">
        <v>97</v>
      </c>
      <c r="B5775" t="s">
        <v>5103</v>
      </c>
      <c r="C5775" t="s">
        <v>17595</v>
      </c>
      <c r="D5775" t="s">
        <v>17596</v>
      </c>
      <c r="E5775" t="s">
        <v>839</v>
      </c>
      <c r="F5775" t="s">
        <v>24</v>
      </c>
      <c r="G5775" t="s">
        <v>12</v>
      </c>
      <c r="H5775">
        <f>50475*(1.01^10)</f>
        <v>55755.801780130561</v>
      </c>
      <c r="I5775">
        <f>206019*(1.01^10)</f>
        <v>227573.14565509098</v>
      </c>
      <c r="J5775" t="s">
        <v>17597</v>
      </c>
      <c r="K5775">
        <f t="shared" si="90"/>
        <v>373.42569357892904</v>
      </c>
    </row>
    <row r="5776" spans="1:11" x14ac:dyDescent="0.2">
      <c r="A5776" t="s">
        <v>97</v>
      </c>
      <c r="B5776" t="s">
        <v>1508</v>
      </c>
      <c r="C5776" t="s">
        <v>17598</v>
      </c>
      <c r="D5776" t="s">
        <v>17599</v>
      </c>
      <c r="E5776" t="s">
        <v>394</v>
      </c>
      <c r="F5776" t="s">
        <v>445</v>
      </c>
      <c r="G5776" t="s">
        <v>158</v>
      </c>
      <c r="H5776">
        <f>98233*(1.01^10)</f>
        <v>108510.34524551888</v>
      </c>
      <c r="I5776">
        <f>425353*(1.01^10)</f>
        <v>469854.33491003216</v>
      </c>
      <c r="J5776" t="s">
        <v>17600</v>
      </c>
      <c r="K5776">
        <f t="shared" si="90"/>
        <v>650.11945831031676</v>
      </c>
    </row>
    <row r="5777" spans="1:11" x14ac:dyDescent="0.2">
      <c r="A5777" t="s">
        <v>97</v>
      </c>
      <c r="B5777" t="s">
        <v>1508</v>
      </c>
      <c r="C5777" t="s">
        <v>17601</v>
      </c>
      <c r="D5777" t="s">
        <v>17602</v>
      </c>
      <c r="E5777" t="s">
        <v>337</v>
      </c>
      <c r="F5777" t="s">
        <v>382</v>
      </c>
      <c r="G5777" t="s">
        <v>744</v>
      </c>
      <c r="H5777">
        <f>92407*(1.01^10)</f>
        <v>102074.8167428732</v>
      </c>
      <c r="I5777">
        <f>391100*(1.01^10)</f>
        <v>432017.71324832219</v>
      </c>
      <c r="J5777" t="s">
        <v>17603</v>
      </c>
      <c r="K5777">
        <f t="shared" si="90"/>
        <v>848.60773782302192</v>
      </c>
    </row>
    <row r="5778" spans="1:11" x14ac:dyDescent="0.2">
      <c r="A5778" t="s">
        <v>97</v>
      </c>
      <c r="B5778" t="s">
        <v>1508</v>
      </c>
      <c r="C5778" t="s">
        <v>17604</v>
      </c>
      <c r="D5778" t="s">
        <v>17605</v>
      </c>
      <c r="E5778" t="s">
        <v>537</v>
      </c>
      <c r="F5778" t="s">
        <v>5</v>
      </c>
      <c r="G5778" t="s">
        <v>744</v>
      </c>
      <c r="H5778">
        <f>105092*(1.01^10)</f>
        <v>116086.94840371433</v>
      </c>
      <c r="I5778">
        <f>444758*(1.01^10)</f>
        <v>491289.52725363662</v>
      </c>
      <c r="J5778" t="s">
        <v>2153</v>
      </c>
      <c r="K5778">
        <f t="shared" si="90"/>
        <v>970.92791947359012</v>
      </c>
    </row>
    <row r="5779" spans="1:11" x14ac:dyDescent="0.2">
      <c r="A5779" t="s">
        <v>97</v>
      </c>
      <c r="B5779" t="s">
        <v>1508</v>
      </c>
      <c r="C5779" t="s">
        <v>17606</v>
      </c>
      <c r="D5779" t="s">
        <v>17607</v>
      </c>
      <c r="E5779" t="s">
        <v>1295</v>
      </c>
      <c r="F5779" t="s">
        <v>92</v>
      </c>
      <c r="G5779" t="s">
        <v>152</v>
      </c>
      <c r="H5779">
        <f>122251*(1.01^10)</f>
        <v>135041.1594536452</v>
      </c>
      <c r="I5779">
        <f>504026*(1.01^10)</f>
        <v>556758.27138250787</v>
      </c>
      <c r="J5779" t="s">
        <v>17608</v>
      </c>
      <c r="K5779">
        <f t="shared" si="90"/>
        <v>660.47222485083432</v>
      </c>
    </row>
    <row r="5780" spans="1:11" x14ac:dyDescent="0.2">
      <c r="A5780" t="s">
        <v>97</v>
      </c>
      <c r="B5780" t="s">
        <v>1508</v>
      </c>
      <c r="C5780" t="s">
        <v>17609</v>
      </c>
      <c r="D5780" t="s">
        <v>17610</v>
      </c>
      <c r="E5780" t="s">
        <v>36</v>
      </c>
      <c r="F5780" t="s">
        <v>11</v>
      </c>
      <c r="G5780" t="s">
        <v>92</v>
      </c>
      <c r="H5780">
        <f>61730*(1.01^10)</f>
        <v>68188.323801633669</v>
      </c>
      <c r="I5780">
        <f>250517*(1.01^10)</f>
        <v>276726.6209916388</v>
      </c>
      <c r="J5780" t="s">
        <v>17611</v>
      </c>
      <c r="K5780">
        <f t="shared" si="90"/>
        <v>528.05224406040884</v>
      </c>
    </row>
    <row r="5781" spans="1:11" x14ac:dyDescent="0.2">
      <c r="A5781" t="s">
        <v>97</v>
      </c>
      <c r="B5781" t="s">
        <v>1508</v>
      </c>
      <c r="C5781" t="s">
        <v>17612</v>
      </c>
      <c r="D5781" t="s">
        <v>17613</v>
      </c>
      <c r="E5781" t="s">
        <v>589</v>
      </c>
      <c r="F5781" t="s">
        <v>796</v>
      </c>
      <c r="G5781" t="s">
        <v>411</v>
      </c>
      <c r="H5781">
        <f>166169*(1.01^10)</f>
        <v>183553.95395745448</v>
      </c>
      <c r="I5781">
        <f>696110*(1.01^10)</f>
        <v>768938.50771999371</v>
      </c>
      <c r="J5781" t="s">
        <v>17614</v>
      </c>
      <c r="K5781">
        <f t="shared" si="90"/>
        <v>876.79278865208687</v>
      </c>
    </row>
    <row r="5782" spans="1:11" x14ac:dyDescent="0.2">
      <c r="A5782" t="s">
        <v>97</v>
      </c>
      <c r="B5782" t="s">
        <v>1508</v>
      </c>
      <c r="C5782" t="s">
        <v>17615</v>
      </c>
      <c r="D5782" t="s">
        <v>17616</v>
      </c>
      <c r="E5782" t="s">
        <v>2795</v>
      </c>
      <c r="F5782" t="s">
        <v>92</v>
      </c>
      <c r="G5782" t="s">
        <v>92</v>
      </c>
      <c r="H5782">
        <f>77178*(1.01^10)</f>
        <v>85252.526394985965</v>
      </c>
      <c r="I5782">
        <f>336548*(1.01^10)</f>
        <v>371758.36706289015</v>
      </c>
      <c r="J5782" t="s">
        <v>17617</v>
      </c>
      <c r="K5782">
        <f t="shared" si="90"/>
        <v>698.42633024515328</v>
      </c>
    </row>
    <row r="5783" spans="1:11" x14ac:dyDescent="0.2">
      <c r="A5783" t="s">
        <v>97</v>
      </c>
      <c r="B5783" t="s">
        <v>1508</v>
      </c>
      <c r="C5783" t="s">
        <v>17618</v>
      </c>
      <c r="D5783" t="s">
        <v>17619</v>
      </c>
      <c r="E5783" t="s">
        <v>1106</v>
      </c>
      <c r="F5783" t="s">
        <v>1340</v>
      </c>
      <c r="G5783" t="s">
        <v>5</v>
      </c>
      <c r="H5783">
        <f>74239*(1.01^10)</f>
        <v>82006.041968402424</v>
      </c>
      <c r="I5783">
        <f>326211*(1.01^10)</f>
        <v>360339.88815251453</v>
      </c>
      <c r="J5783" t="s">
        <v>17620</v>
      </c>
      <c r="K5783">
        <f t="shared" si="90"/>
        <v>645.44652889681618</v>
      </c>
    </row>
    <row r="5784" spans="1:11" x14ac:dyDescent="0.2">
      <c r="A5784" t="s">
        <v>97</v>
      </c>
      <c r="B5784" t="s">
        <v>1508</v>
      </c>
      <c r="C5784" t="s">
        <v>17621</v>
      </c>
      <c r="D5784" t="s">
        <v>17622</v>
      </c>
      <c r="E5784" t="s">
        <v>484</v>
      </c>
      <c r="F5784" t="s">
        <v>92</v>
      </c>
      <c r="G5784" t="s">
        <v>744</v>
      </c>
      <c r="H5784">
        <f>131982*(1.01^10)</f>
        <v>145790.23735602162</v>
      </c>
      <c r="I5784">
        <f>561708*(1.01^10)</f>
        <v>620475.08482047694</v>
      </c>
      <c r="J5784" t="s">
        <v>17623</v>
      </c>
      <c r="K5784">
        <f t="shared" si="90"/>
        <v>618.85368815750428</v>
      </c>
    </row>
    <row r="5785" spans="1:11" x14ac:dyDescent="0.2">
      <c r="A5785" t="s">
        <v>97</v>
      </c>
      <c r="B5785" t="s">
        <v>2123</v>
      </c>
      <c r="C5785" t="s">
        <v>17624</v>
      </c>
      <c r="D5785" t="s">
        <v>17625</v>
      </c>
      <c r="E5785" t="s">
        <v>2795</v>
      </c>
      <c r="F5785" t="s">
        <v>24</v>
      </c>
      <c r="G5785" t="s">
        <v>6</v>
      </c>
      <c r="H5785">
        <f>70667*(1.01^10)</f>
        <v>78060.331736433611</v>
      </c>
      <c r="I5785">
        <f>294976*(1.01^10)</f>
        <v>325837.01606529555</v>
      </c>
      <c r="J5785" t="s">
        <v>17626</v>
      </c>
      <c r="K5785">
        <f t="shared" si="90"/>
        <v>777.70750058888336</v>
      </c>
    </row>
    <row r="5786" spans="1:11" x14ac:dyDescent="0.2">
      <c r="A5786" t="s">
        <v>97</v>
      </c>
      <c r="B5786" t="s">
        <v>2123</v>
      </c>
      <c r="C5786" t="s">
        <v>17627</v>
      </c>
      <c r="D5786" t="s">
        <v>17628</v>
      </c>
      <c r="E5786" t="s">
        <v>1974</v>
      </c>
      <c r="F5786" t="s">
        <v>17</v>
      </c>
      <c r="G5786" t="s">
        <v>11</v>
      </c>
      <c r="H5786">
        <f>82922*(1.01^10)</f>
        <v>91597.475883347914</v>
      </c>
      <c r="I5786">
        <f>338612*(1.01^10)</f>
        <v>374038.30712973885</v>
      </c>
      <c r="J5786" t="s">
        <v>17629</v>
      </c>
      <c r="K5786">
        <f t="shared" si="90"/>
        <v>440.42531423541715</v>
      </c>
    </row>
    <row r="5787" spans="1:11" x14ac:dyDescent="0.2">
      <c r="A5787" t="s">
        <v>97</v>
      </c>
      <c r="B5787" t="s">
        <v>2123</v>
      </c>
      <c r="C5787" t="s">
        <v>17630</v>
      </c>
      <c r="D5787" t="s">
        <v>17631</v>
      </c>
      <c r="E5787" t="s">
        <v>342</v>
      </c>
      <c r="F5787" t="s">
        <v>6</v>
      </c>
      <c r="G5787" t="s">
        <v>11</v>
      </c>
      <c r="H5787">
        <f>82681*(1.01^10)</f>
        <v>91331.261951123815</v>
      </c>
      <c r="I5787">
        <f>336121*(1.01^10)</f>
        <v>371286.69341533957</v>
      </c>
      <c r="J5787" t="s">
        <v>17632</v>
      </c>
      <c r="K5787">
        <f t="shared" si="90"/>
        <v>421.54835251427068</v>
      </c>
    </row>
    <row r="5788" spans="1:11" x14ac:dyDescent="0.2">
      <c r="A5788" t="s">
        <v>97</v>
      </c>
      <c r="B5788" t="s">
        <v>2123</v>
      </c>
      <c r="C5788" t="s">
        <v>17633</v>
      </c>
      <c r="D5788" t="s">
        <v>17634</v>
      </c>
      <c r="E5788" t="s">
        <v>1227</v>
      </c>
      <c r="F5788" t="s">
        <v>318</v>
      </c>
      <c r="G5788" t="s">
        <v>11</v>
      </c>
      <c r="H5788">
        <f>109642*(1.01^10)</f>
        <v>121112.97907433531</v>
      </c>
      <c r="I5788">
        <f>449860*(1.01^10)</f>
        <v>496925.30933748459</v>
      </c>
      <c r="J5788" t="s">
        <v>17635</v>
      </c>
      <c r="K5788">
        <f t="shared" si="90"/>
        <v>364.06798410034685</v>
      </c>
    </row>
    <row r="5789" spans="1:11" x14ac:dyDescent="0.2">
      <c r="A5789" t="s">
        <v>97</v>
      </c>
      <c r="B5789" t="s">
        <v>2123</v>
      </c>
      <c r="C5789" t="s">
        <v>17636</v>
      </c>
      <c r="D5789" t="s">
        <v>17637</v>
      </c>
      <c r="E5789" t="s">
        <v>839</v>
      </c>
      <c r="F5789" t="s">
        <v>356</v>
      </c>
      <c r="G5789" t="s">
        <v>17</v>
      </c>
      <c r="H5789">
        <f>66734*(1.01^10)</f>
        <v>73715.85291719134</v>
      </c>
      <c r="I5789">
        <f>283917*(1.01^10)</f>
        <v>313620.99998037302</v>
      </c>
      <c r="J5789" t="s">
        <v>17638</v>
      </c>
      <c r="K5789">
        <f t="shared" si="90"/>
        <v>305.72125479714612</v>
      </c>
    </row>
    <row r="5790" spans="1:11" x14ac:dyDescent="0.2">
      <c r="A5790" t="s">
        <v>97</v>
      </c>
      <c r="B5790" t="s">
        <v>2123</v>
      </c>
      <c r="C5790" t="s">
        <v>17639</v>
      </c>
      <c r="D5790" t="s">
        <v>17640</v>
      </c>
      <c r="E5790" t="s">
        <v>232</v>
      </c>
      <c r="F5790" t="s">
        <v>6</v>
      </c>
      <c r="G5790" t="s">
        <v>24</v>
      </c>
      <c r="H5790">
        <f>41852*(1.01^10)</f>
        <v>46230.645192709744</v>
      </c>
      <c r="I5790">
        <f>179553*(1.01^10)</f>
        <v>198338.21648395804</v>
      </c>
      <c r="J5790" t="s">
        <v>17641</v>
      </c>
      <c r="K5790">
        <f t="shared" si="90"/>
        <v>294.19537223152014</v>
      </c>
    </row>
    <row r="5791" spans="1:11" x14ac:dyDescent="0.2">
      <c r="A5791" t="s">
        <v>97</v>
      </c>
      <c r="B5791" t="s">
        <v>2123</v>
      </c>
      <c r="C5791" t="s">
        <v>17642</v>
      </c>
      <c r="D5791" t="s">
        <v>17643</v>
      </c>
      <c r="E5791" t="s">
        <v>563</v>
      </c>
      <c r="F5791" t="s">
        <v>6</v>
      </c>
      <c r="G5791" t="s">
        <v>5</v>
      </c>
      <c r="H5791">
        <f>134338*(1.01^10)</f>
        <v>148392.72708349043</v>
      </c>
      <c r="I5791">
        <f>581836*(1.01^10)</f>
        <v>642708.91896075371</v>
      </c>
      <c r="J5791" t="s">
        <v>17644</v>
      </c>
      <c r="K5791">
        <f t="shared" si="90"/>
        <v>659.82614093006453</v>
      </c>
    </row>
    <row r="5792" spans="1:11" x14ac:dyDescent="0.2">
      <c r="A5792" t="s">
        <v>97</v>
      </c>
      <c r="B5792" t="s">
        <v>897</v>
      </c>
      <c r="C5792" t="s">
        <v>17645</v>
      </c>
      <c r="D5792" t="s">
        <v>17646</v>
      </c>
      <c r="E5792" t="s">
        <v>5142</v>
      </c>
      <c r="F5792" t="s">
        <v>405</v>
      </c>
      <c r="G5792" t="s">
        <v>17</v>
      </c>
      <c r="H5792">
        <f>100430*(1.01^10)</f>
        <v>110937.20005504729</v>
      </c>
      <c r="I5792">
        <f>423942*(1.01^10)</f>
        <v>468295.71309107699</v>
      </c>
      <c r="J5792" t="s">
        <v>17647</v>
      </c>
      <c r="K5792">
        <f t="shared" si="90"/>
        <v>440.52366545769524</v>
      </c>
    </row>
    <row r="5793" spans="1:11" x14ac:dyDescent="0.2">
      <c r="A5793" t="s">
        <v>97</v>
      </c>
      <c r="B5793" t="s">
        <v>897</v>
      </c>
      <c r="C5793" t="s">
        <v>17648</v>
      </c>
      <c r="D5793" t="s">
        <v>17649</v>
      </c>
      <c r="E5793" t="s">
        <v>507</v>
      </c>
      <c r="F5793" t="s">
        <v>92</v>
      </c>
      <c r="G5793" t="s">
        <v>17</v>
      </c>
      <c r="H5793">
        <f>105834*(1.01^10)</f>
        <v>116906.57802076945</v>
      </c>
      <c r="I5793">
        <f>446682*(1.01^10)</f>
        <v>493414.82022292778</v>
      </c>
      <c r="J5793" t="s">
        <v>17650</v>
      </c>
      <c r="K5793">
        <f t="shared" si="90"/>
        <v>495.65962326939803</v>
      </c>
    </row>
    <row r="5794" spans="1:11" x14ac:dyDescent="0.2">
      <c r="A5794" t="s">
        <v>97</v>
      </c>
      <c r="B5794" t="s">
        <v>897</v>
      </c>
      <c r="C5794" t="s">
        <v>17651</v>
      </c>
      <c r="D5794" t="s">
        <v>17652</v>
      </c>
      <c r="E5794" t="s">
        <v>1229</v>
      </c>
      <c r="F5794" t="s">
        <v>12</v>
      </c>
      <c r="G5794" t="s">
        <v>12</v>
      </c>
      <c r="H5794">
        <f>45758*(1.01^10)</f>
        <v>50545.299214565908</v>
      </c>
      <c r="I5794">
        <f>196422*(1.01^10)</f>
        <v>216972.08711751967</v>
      </c>
      <c r="J5794" t="s">
        <v>17653</v>
      </c>
      <c r="K5794">
        <f t="shared" si="90"/>
        <v>471.54849525123763</v>
      </c>
    </row>
    <row r="5795" spans="1:11" x14ac:dyDescent="0.2">
      <c r="A5795" t="s">
        <v>97</v>
      </c>
      <c r="B5795" t="s">
        <v>897</v>
      </c>
      <c r="C5795" t="s">
        <v>17654</v>
      </c>
      <c r="D5795" t="s">
        <v>17655</v>
      </c>
      <c r="E5795" t="s">
        <v>1405</v>
      </c>
      <c r="F5795" t="s">
        <v>158</v>
      </c>
      <c r="G5795" t="s">
        <v>5</v>
      </c>
      <c r="H5795">
        <f>163568*(1.01^10)</f>
        <v>180680.83180925995</v>
      </c>
      <c r="I5795">
        <f>697569*(1.01^10)</f>
        <v>770550.15140096867</v>
      </c>
      <c r="J5795" t="s">
        <v>17656</v>
      </c>
      <c r="K5795">
        <f t="shared" si="90"/>
        <v>853.12545238658925</v>
      </c>
    </row>
    <row r="5796" spans="1:11" x14ac:dyDescent="0.2">
      <c r="A5796" t="s">
        <v>97</v>
      </c>
      <c r="B5796" t="s">
        <v>897</v>
      </c>
      <c r="C5796" t="s">
        <v>17657</v>
      </c>
      <c r="D5796" t="s">
        <v>17658</v>
      </c>
      <c r="E5796" t="s">
        <v>3215</v>
      </c>
      <c r="F5796" t="s">
        <v>382</v>
      </c>
      <c r="G5796" t="s">
        <v>5</v>
      </c>
      <c r="H5796">
        <f>97493*(1.01^10)</f>
        <v>107692.92487271459</v>
      </c>
      <c r="I5796">
        <f>446531*(1.01^10)</f>
        <v>493248.02228199068</v>
      </c>
      <c r="J5796" t="s">
        <v>17659</v>
      </c>
      <c r="K5796">
        <f t="shared" si="90"/>
        <v>669.65926455370345</v>
      </c>
    </row>
    <row r="5797" spans="1:11" x14ac:dyDescent="0.2">
      <c r="A5797" t="s">
        <v>97</v>
      </c>
      <c r="B5797" t="s">
        <v>897</v>
      </c>
      <c r="C5797" t="s">
        <v>17660</v>
      </c>
      <c r="D5797" t="s">
        <v>17661</v>
      </c>
      <c r="E5797" t="s">
        <v>631</v>
      </c>
      <c r="F5797" t="s">
        <v>744</v>
      </c>
      <c r="G5797" t="s">
        <v>12</v>
      </c>
      <c r="H5797">
        <f>91183*(1.01^10)</f>
        <v>100722.75926136988</v>
      </c>
      <c r="I5797">
        <f>407970*(1.01^10)</f>
        <v>450652.68850400922</v>
      </c>
      <c r="J5797" t="s">
        <v>17662</v>
      </c>
      <c r="K5797">
        <f t="shared" si="90"/>
        <v>351.68245208513463</v>
      </c>
    </row>
    <row r="5798" spans="1:11" x14ac:dyDescent="0.2">
      <c r="A5798" t="s">
        <v>97</v>
      </c>
      <c r="B5798" t="s">
        <v>897</v>
      </c>
      <c r="C5798" t="s">
        <v>17663</v>
      </c>
      <c r="D5798" t="s">
        <v>17664</v>
      </c>
      <c r="E5798" t="s">
        <v>328</v>
      </c>
      <c r="F5798" t="s">
        <v>92</v>
      </c>
      <c r="G5798" t="s">
        <v>5</v>
      </c>
      <c r="H5798">
        <f>113192*(1.01^10)</f>
        <v>125034.38761954509</v>
      </c>
      <c r="I5798">
        <f>466136*(1.01^10)</f>
        <v>514904.13905067736</v>
      </c>
      <c r="J5798" t="s">
        <v>17665</v>
      </c>
      <c r="K5798">
        <f t="shared" si="90"/>
        <v>529.29345011000214</v>
      </c>
    </row>
    <row r="5799" spans="1:11" x14ac:dyDescent="0.2">
      <c r="A5799" t="s">
        <v>97</v>
      </c>
      <c r="B5799" t="s">
        <v>897</v>
      </c>
      <c r="C5799" t="s">
        <v>17666</v>
      </c>
      <c r="D5799" t="s">
        <v>17667</v>
      </c>
      <c r="E5799" t="s">
        <v>676</v>
      </c>
      <c r="F5799" t="s">
        <v>6</v>
      </c>
      <c r="G5799" t="s">
        <v>12</v>
      </c>
      <c r="H5799">
        <f>82910*(1.01^10)</f>
        <v>91584.220417842982</v>
      </c>
      <c r="I5799">
        <f>373621*(1.01^10)</f>
        <v>412710.02311825973</v>
      </c>
      <c r="J5799" t="s">
        <v>17668</v>
      </c>
      <c r="K5799">
        <f t="shared" si="90"/>
        <v>528.2003418510219</v>
      </c>
    </row>
    <row r="5800" spans="1:11" x14ac:dyDescent="0.2">
      <c r="A5800" t="s">
        <v>97</v>
      </c>
      <c r="B5800" t="s">
        <v>17201</v>
      </c>
      <c r="C5800" t="s">
        <v>17669</v>
      </c>
      <c r="D5800" t="s">
        <v>17670</v>
      </c>
      <c r="E5800" t="s">
        <v>16</v>
      </c>
      <c r="F5800" t="s">
        <v>92</v>
      </c>
      <c r="G5800" t="s">
        <v>405</v>
      </c>
      <c r="H5800">
        <f>112155*(1.01^10)</f>
        <v>123888.89447549367</v>
      </c>
      <c r="I5800">
        <f>419887*(1.01^10)</f>
        <v>463816.47037253453</v>
      </c>
      <c r="J5800" t="s">
        <v>17671</v>
      </c>
      <c r="K5800">
        <f t="shared" si="90"/>
        <v>598.65168562191639</v>
      </c>
    </row>
    <row r="5801" spans="1:11" x14ac:dyDescent="0.2">
      <c r="A5801" t="s">
        <v>97</v>
      </c>
      <c r="B5801" t="s">
        <v>17201</v>
      </c>
      <c r="C5801" t="s">
        <v>17672</v>
      </c>
      <c r="D5801" t="s">
        <v>17673</v>
      </c>
      <c r="E5801" t="s">
        <v>410</v>
      </c>
      <c r="F5801" t="s">
        <v>405</v>
      </c>
      <c r="G5801" t="s">
        <v>152</v>
      </c>
      <c r="H5801">
        <f>125462*(1.01^10)</f>
        <v>138588.10109834056</v>
      </c>
      <c r="I5801">
        <f>494355*(1.01^10)</f>
        <v>546075.47080765618</v>
      </c>
      <c r="J5801" t="s">
        <v>17674</v>
      </c>
      <c r="K5801">
        <f t="shared" si="90"/>
        <v>819.75542009747949</v>
      </c>
    </row>
    <row r="5802" spans="1:11" x14ac:dyDescent="0.2">
      <c r="A5802" t="s">
        <v>97</v>
      </c>
      <c r="B5802" t="s">
        <v>17201</v>
      </c>
      <c r="C5802" t="s">
        <v>17675</v>
      </c>
      <c r="D5802" t="s">
        <v>17676</v>
      </c>
      <c r="E5802" t="s">
        <v>422</v>
      </c>
      <c r="F5802" t="s">
        <v>24</v>
      </c>
      <c r="G5802" t="s">
        <v>11</v>
      </c>
      <c r="H5802">
        <f>60916*(1.01^10)</f>
        <v>67289.161391548943</v>
      </c>
      <c r="I5802">
        <f>223756*(1.01^10)</f>
        <v>247165.82829350952</v>
      </c>
      <c r="J5802" t="s">
        <v>17677</v>
      </c>
      <c r="K5802">
        <f t="shared" si="90"/>
        <v>778.13614993210183</v>
      </c>
    </row>
    <row r="5803" spans="1:11" x14ac:dyDescent="0.2">
      <c r="A5803" t="s">
        <v>97</v>
      </c>
      <c r="B5803" t="s">
        <v>17201</v>
      </c>
      <c r="C5803" t="s">
        <v>17678</v>
      </c>
      <c r="D5803" t="s">
        <v>17679</v>
      </c>
      <c r="E5803" t="s">
        <v>829</v>
      </c>
      <c r="F5803" t="s">
        <v>12</v>
      </c>
      <c r="G5803" t="s">
        <v>6</v>
      </c>
      <c r="H5803">
        <f>66453*(1.01^10)</f>
        <v>73405.454099950788</v>
      </c>
      <c r="I5803">
        <f>241783*(1.01^10)</f>
        <v>267078.85134829732</v>
      </c>
      <c r="J5803" t="s">
        <v>17680</v>
      </c>
      <c r="K5803">
        <f t="shared" si="90"/>
        <v>629.57069173513378</v>
      </c>
    </row>
    <row r="5804" spans="1:11" x14ac:dyDescent="0.2">
      <c r="A5804" t="s">
        <v>97</v>
      </c>
      <c r="B5804" t="s">
        <v>17201</v>
      </c>
      <c r="C5804" t="s">
        <v>17681</v>
      </c>
      <c r="D5804" t="s">
        <v>17682</v>
      </c>
      <c r="E5804" t="s">
        <v>1387</v>
      </c>
      <c r="F5804" t="s">
        <v>158</v>
      </c>
      <c r="G5804" t="s">
        <v>77</v>
      </c>
      <c r="H5804">
        <f>332749*(1.01^10)</f>
        <v>367561.90760845295</v>
      </c>
      <c r="I5804">
        <f>1272743*(1.01^10)</f>
        <v>1405900.0777622329</v>
      </c>
      <c r="J5804" t="s">
        <v>17683</v>
      </c>
      <c r="K5804">
        <f t="shared" si="90"/>
        <v>2606.0719191452367</v>
      </c>
    </row>
    <row r="5805" spans="1:11" x14ac:dyDescent="0.2">
      <c r="A5805" t="s">
        <v>97</v>
      </c>
      <c r="B5805" t="s">
        <v>17201</v>
      </c>
      <c r="C5805" t="s">
        <v>17684</v>
      </c>
      <c r="D5805" t="s">
        <v>17685</v>
      </c>
      <c r="E5805" t="s">
        <v>264</v>
      </c>
      <c r="F5805" t="s">
        <v>77</v>
      </c>
      <c r="G5805" t="s">
        <v>12</v>
      </c>
      <c r="H5805">
        <f>10772*(1.01^10)</f>
        <v>11898.989534929498</v>
      </c>
      <c r="I5805">
        <f>41869*(1.01^10)</f>
        <v>46249.423768841734</v>
      </c>
      <c r="J5805" t="s">
        <v>17686</v>
      </c>
      <c r="K5805">
        <f t="shared" si="90"/>
        <v>120.08415758975681</v>
      </c>
    </row>
    <row r="5806" spans="1:11" x14ac:dyDescent="0.2">
      <c r="A5806" t="s">
        <v>97</v>
      </c>
      <c r="B5806" t="s">
        <v>17201</v>
      </c>
      <c r="C5806" t="s">
        <v>17687</v>
      </c>
      <c r="D5806" t="s">
        <v>17688</v>
      </c>
      <c r="E5806" t="s">
        <v>612</v>
      </c>
      <c r="F5806" t="s">
        <v>6</v>
      </c>
      <c r="G5806" t="s">
        <v>5</v>
      </c>
      <c r="H5806">
        <f>50954*(1.01^10)</f>
        <v>56284.915778202529</v>
      </c>
      <c r="I5806">
        <f>195412*(1.01^10)</f>
        <v>215856.41877085433</v>
      </c>
      <c r="J5806" t="s">
        <v>17689</v>
      </c>
      <c r="K5806">
        <f t="shared" si="90"/>
        <v>491.67649167893518</v>
      </c>
    </row>
    <row r="5807" spans="1:11" x14ac:dyDescent="0.2">
      <c r="A5807" t="s">
        <v>97</v>
      </c>
      <c r="B5807" t="s">
        <v>17201</v>
      </c>
      <c r="C5807" t="s">
        <v>17690</v>
      </c>
      <c r="D5807" t="s">
        <v>17691</v>
      </c>
      <c r="E5807" t="s">
        <v>36</v>
      </c>
      <c r="F5807" t="s">
        <v>158</v>
      </c>
      <c r="G5807" t="s">
        <v>92</v>
      </c>
      <c r="H5807">
        <f>112668*(1.01^10)</f>
        <v>124455.56562582962</v>
      </c>
      <c r="I5807">
        <f>430949*(1.01^10)</f>
        <v>476035.80032383325</v>
      </c>
      <c r="J5807" t="s">
        <v>17692</v>
      </c>
      <c r="K5807">
        <f t="shared" si="90"/>
        <v>408.25830567690338</v>
      </c>
    </row>
    <row r="5808" spans="1:11" x14ac:dyDescent="0.2">
      <c r="A5808" t="s">
        <v>97</v>
      </c>
      <c r="B5808" t="s">
        <v>17201</v>
      </c>
      <c r="C5808" t="s">
        <v>17693</v>
      </c>
      <c r="D5808" t="s">
        <v>17694</v>
      </c>
      <c r="E5808" t="s">
        <v>520</v>
      </c>
      <c r="F5808" t="s">
        <v>152</v>
      </c>
      <c r="G5808" t="s">
        <v>92</v>
      </c>
      <c r="H5808">
        <f>43838*(1.01^10)</f>
        <v>48424.424733776395</v>
      </c>
      <c r="I5808">
        <f>161302*(1.01^10)</f>
        <v>178177.75807307815</v>
      </c>
      <c r="J5808" t="s">
        <v>17695</v>
      </c>
      <c r="K5808">
        <f t="shared" si="90"/>
        <v>339.66179409587107</v>
      </c>
    </row>
    <row r="5809" spans="1:11" x14ac:dyDescent="0.2">
      <c r="A5809" t="s">
        <v>97</v>
      </c>
      <c r="B5809" t="s">
        <v>3313</v>
      </c>
      <c r="C5809" t="s">
        <v>17696</v>
      </c>
      <c r="D5809" t="s">
        <v>17697</v>
      </c>
      <c r="E5809" t="s">
        <v>368</v>
      </c>
      <c r="F5809" t="s">
        <v>24</v>
      </c>
      <c r="G5809" t="s">
        <v>108</v>
      </c>
      <c r="H5809">
        <f>173932*(1.01^10)</f>
        <v>192129.13551702167</v>
      </c>
      <c r="I5809">
        <f>631507*(1.01^10)</f>
        <v>697576.60455205373</v>
      </c>
      <c r="J5809" t="s">
        <v>17698</v>
      </c>
      <c r="K5809">
        <f t="shared" si="90"/>
        <v>844.632139782423</v>
      </c>
    </row>
    <row r="5810" spans="1:11" x14ac:dyDescent="0.2">
      <c r="A5810" t="s">
        <v>97</v>
      </c>
      <c r="B5810" t="s">
        <v>3313</v>
      </c>
      <c r="C5810" t="s">
        <v>17699</v>
      </c>
      <c r="D5810" t="s">
        <v>17700</v>
      </c>
      <c r="E5810" t="s">
        <v>287</v>
      </c>
      <c r="F5810" t="s">
        <v>411</v>
      </c>
      <c r="G5810" t="s">
        <v>152</v>
      </c>
      <c r="H5810">
        <f>91643*(1.01^10)</f>
        <v>101230.88543905904</v>
      </c>
      <c r="I5810">
        <f>340515*(1.01^10)</f>
        <v>376140.40303439641</v>
      </c>
      <c r="J5810" t="s">
        <v>17701</v>
      </c>
      <c r="K5810">
        <f t="shared" si="90"/>
        <v>459.24658644287723</v>
      </c>
    </row>
    <row r="5811" spans="1:11" x14ac:dyDescent="0.2">
      <c r="A5811" t="s">
        <v>97</v>
      </c>
      <c r="B5811" t="s">
        <v>3313</v>
      </c>
      <c r="C5811" t="s">
        <v>17702</v>
      </c>
      <c r="D5811" t="s">
        <v>17703</v>
      </c>
      <c r="E5811" t="s">
        <v>1944</v>
      </c>
      <c r="F5811" t="s">
        <v>405</v>
      </c>
      <c r="G5811" t="s">
        <v>405</v>
      </c>
      <c r="H5811">
        <f>148468*(1.01^10)</f>
        <v>164001.03771555074</v>
      </c>
      <c r="I5811">
        <f>541488*(1.01^10)</f>
        <v>598139.62544466241</v>
      </c>
      <c r="J5811" t="s">
        <v>17704</v>
      </c>
      <c r="K5811">
        <f t="shared" si="90"/>
        <v>478.62070494849553</v>
      </c>
    </row>
    <row r="5812" spans="1:11" x14ac:dyDescent="0.2">
      <c r="A5812" t="s">
        <v>97</v>
      </c>
      <c r="B5812" t="s">
        <v>3313</v>
      </c>
      <c r="C5812" t="s">
        <v>17705</v>
      </c>
      <c r="D5812" t="s">
        <v>17706</v>
      </c>
      <c r="E5812" t="s">
        <v>264</v>
      </c>
      <c r="F5812" t="s">
        <v>24</v>
      </c>
      <c r="G5812" t="s">
        <v>92</v>
      </c>
      <c r="H5812">
        <f>61468*(1.01^10)</f>
        <v>67898.91280477593</v>
      </c>
      <c r="I5812">
        <f>213091*(1.01^10)</f>
        <v>235385.03332599904</v>
      </c>
      <c r="J5812" t="s">
        <v>17707</v>
      </c>
      <c r="K5812">
        <f t="shared" si="90"/>
        <v>448.0524441972193</v>
      </c>
    </row>
    <row r="5813" spans="1:11" x14ac:dyDescent="0.2">
      <c r="A5813" t="s">
        <v>97</v>
      </c>
      <c r="B5813" t="s">
        <v>17554</v>
      </c>
      <c r="C5813" t="s">
        <v>17708</v>
      </c>
      <c r="D5813" t="s">
        <v>17709</v>
      </c>
      <c r="E5813" t="s">
        <v>232</v>
      </c>
      <c r="F5813" t="s">
        <v>744</v>
      </c>
      <c r="G5813" t="s">
        <v>92</v>
      </c>
      <c r="H5813">
        <f>93994*(1.01^10)</f>
        <v>103827.85205590077</v>
      </c>
      <c r="I5813">
        <f>327441*(1.01^10)</f>
        <v>361698.57336677029</v>
      </c>
      <c r="J5813" t="s">
        <v>17710</v>
      </c>
      <c r="K5813">
        <f t="shared" si="90"/>
        <v>159.20704092851344</v>
      </c>
    </row>
    <row r="5814" spans="1:11" x14ac:dyDescent="0.2">
      <c r="A5814" t="s">
        <v>97</v>
      </c>
      <c r="B5814" t="s">
        <v>17554</v>
      </c>
      <c r="C5814" t="s">
        <v>17711</v>
      </c>
      <c r="D5814" t="s">
        <v>17712</v>
      </c>
      <c r="E5814" t="s">
        <v>91</v>
      </c>
      <c r="F5814" t="s">
        <v>17</v>
      </c>
      <c r="G5814" t="s">
        <v>405</v>
      </c>
      <c r="H5814">
        <f>132152*(1.01^10)</f>
        <v>145978.02311734154</v>
      </c>
      <c r="I5814">
        <f>459517*(1.01^10)</f>
        <v>507592.64520258055</v>
      </c>
      <c r="J5814" t="s">
        <v>17713</v>
      </c>
      <c r="K5814">
        <f t="shared" si="90"/>
        <v>339.72393984659675</v>
      </c>
    </row>
    <row r="5815" spans="1:11" x14ac:dyDescent="0.2">
      <c r="A5815" t="s">
        <v>97</v>
      </c>
      <c r="B5815" t="s">
        <v>17554</v>
      </c>
      <c r="C5815" t="s">
        <v>17714</v>
      </c>
      <c r="D5815" t="s">
        <v>17715</v>
      </c>
      <c r="E5815" t="s">
        <v>3122</v>
      </c>
      <c r="F5815" t="s">
        <v>92</v>
      </c>
      <c r="G5815" t="s">
        <v>405</v>
      </c>
      <c r="H5815">
        <f>115410*(1.01^10)</f>
        <v>127484.43949370713</v>
      </c>
      <c r="I5815">
        <f>376351*(1.01^10)</f>
        <v>415725.64152063231</v>
      </c>
      <c r="J5815" t="s">
        <v>17716</v>
      </c>
      <c r="K5815">
        <f t="shared" si="90"/>
        <v>626.84290107546576</v>
      </c>
    </row>
    <row r="5816" spans="1:11" x14ac:dyDescent="0.2">
      <c r="A5816" t="s">
        <v>97</v>
      </c>
      <c r="B5816" t="s">
        <v>17554</v>
      </c>
      <c r="C5816" t="s">
        <v>17717</v>
      </c>
      <c r="D5816" t="s">
        <v>17718</v>
      </c>
      <c r="E5816" t="s">
        <v>264</v>
      </c>
      <c r="F5816" t="s">
        <v>12</v>
      </c>
      <c r="G5816" t="s">
        <v>405</v>
      </c>
      <c r="H5816">
        <f>78922*(1.01^10)</f>
        <v>87178.987381703104</v>
      </c>
      <c r="I5816">
        <f>266106*(1.01^10)</f>
        <v>293946.57530467404</v>
      </c>
      <c r="J5816" t="s">
        <v>17719</v>
      </c>
      <c r="K5816">
        <f t="shared" si="90"/>
        <v>522.05440475306739</v>
      </c>
    </row>
    <row r="5817" spans="1:11" x14ac:dyDescent="0.2">
      <c r="A5817" t="s">
        <v>97</v>
      </c>
      <c r="B5817" t="s">
        <v>17554</v>
      </c>
      <c r="C5817" t="s">
        <v>17720</v>
      </c>
      <c r="D5817" t="s">
        <v>17721</v>
      </c>
      <c r="E5817" t="s">
        <v>1580</v>
      </c>
      <c r="F5817" t="s">
        <v>17</v>
      </c>
      <c r="G5817" t="s">
        <v>726</v>
      </c>
      <c r="H5817">
        <f>237593*(1.01^10)</f>
        <v>262450.48464282439</v>
      </c>
      <c r="I5817">
        <f>822329*(1.01^10)</f>
        <v>908362.8077672706</v>
      </c>
      <c r="J5817" t="s">
        <v>17722</v>
      </c>
      <c r="K5817">
        <f t="shared" si="90"/>
        <v>1183.1862089235756</v>
      </c>
    </row>
    <row r="5818" spans="1:11" x14ac:dyDescent="0.2">
      <c r="A5818" t="s">
        <v>97</v>
      </c>
      <c r="B5818" t="s">
        <v>3147</v>
      </c>
      <c r="C5818" t="s">
        <v>17723</v>
      </c>
      <c r="D5818" t="s">
        <v>17724</v>
      </c>
      <c r="E5818" t="s">
        <v>5</v>
      </c>
      <c r="F5818" t="s">
        <v>24</v>
      </c>
      <c r="G5818" t="s">
        <v>12</v>
      </c>
      <c r="H5818">
        <f>30615*(1.01^10)</f>
        <v>33818.006369464034</v>
      </c>
      <c r="I5818">
        <f>125931*(1.01^10)</f>
        <v>139106.16887515842</v>
      </c>
      <c r="J5818" t="s">
        <v>17725</v>
      </c>
      <c r="K5818">
        <f t="shared" si="90"/>
        <v>637.94588340829478</v>
      </c>
    </row>
    <row r="5819" spans="1:11" x14ac:dyDescent="0.2">
      <c r="A5819" t="s">
        <v>97</v>
      </c>
      <c r="B5819" t="s">
        <v>3147</v>
      </c>
      <c r="C5819" t="s">
        <v>17726</v>
      </c>
      <c r="D5819" t="s">
        <v>17727</v>
      </c>
      <c r="E5819" t="s">
        <v>11</v>
      </c>
      <c r="F5819" t="s">
        <v>24</v>
      </c>
      <c r="G5819" t="s">
        <v>11</v>
      </c>
      <c r="H5819">
        <f>25075*(1.01^10)</f>
        <v>27698.39979468596</v>
      </c>
      <c r="I5819">
        <f>104768*(1.01^10)</f>
        <v>115729.0508350811</v>
      </c>
      <c r="J5819" t="s">
        <v>17728</v>
      </c>
      <c r="K5819">
        <f t="shared" si="90"/>
        <v>228.22412802934647</v>
      </c>
    </row>
    <row r="5820" spans="1:11" x14ac:dyDescent="0.2">
      <c r="A5820" t="s">
        <v>97</v>
      </c>
      <c r="B5820" t="s">
        <v>3147</v>
      </c>
      <c r="C5820" t="s">
        <v>17729</v>
      </c>
      <c r="D5820" t="s">
        <v>17730</v>
      </c>
      <c r="E5820" t="s">
        <v>405</v>
      </c>
      <c r="F5820" t="s">
        <v>24</v>
      </c>
      <c r="G5820" t="s">
        <v>11</v>
      </c>
      <c r="H5820">
        <f>52767*(1.01^10)</f>
        <v>58287.595691573042</v>
      </c>
      <c r="I5820">
        <f>191960*(1.01^10)</f>
        <v>212043.26319393486</v>
      </c>
      <c r="J5820" t="s">
        <v>17731</v>
      </c>
      <c r="K5820">
        <f t="shared" si="90"/>
        <v>241.15882535872674</v>
      </c>
    </row>
    <row r="5821" spans="1:11" x14ac:dyDescent="0.2">
      <c r="A5821" t="s">
        <v>97</v>
      </c>
      <c r="B5821" t="s">
        <v>3147</v>
      </c>
      <c r="C5821" t="s">
        <v>17732</v>
      </c>
      <c r="D5821" t="s">
        <v>17733</v>
      </c>
      <c r="E5821" t="s">
        <v>318</v>
      </c>
      <c r="F5821" t="s">
        <v>24</v>
      </c>
      <c r="G5821" t="s">
        <v>17</v>
      </c>
      <c r="H5821">
        <f>31168*(1.01^10)</f>
        <v>34428.862404816427</v>
      </c>
      <c r="I5821">
        <f>108684*(1.01^10)</f>
        <v>120054.75107819137</v>
      </c>
      <c r="J5821" t="s">
        <v>17734</v>
      </c>
      <c r="K5821">
        <f t="shared" si="90"/>
        <v>301.98526605786918</v>
      </c>
    </row>
    <row r="5822" spans="1:11" x14ac:dyDescent="0.2">
      <c r="A5822" t="s">
        <v>97</v>
      </c>
      <c r="B5822" t="s">
        <v>3147</v>
      </c>
      <c r="C5822" t="s">
        <v>17735</v>
      </c>
      <c r="D5822" t="s">
        <v>17736</v>
      </c>
      <c r="E5822" t="s">
        <v>5</v>
      </c>
      <c r="F5822" t="s">
        <v>24</v>
      </c>
      <c r="G5822" t="s">
        <v>6</v>
      </c>
      <c r="H5822">
        <f>44197*(1.01^10)</f>
        <v>48820.984076799017</v>
      </c>
      <c r="I5822">
        <f>157744*(1.01^10)</f>
        <v>174247.51255086507</v>
      </c>
      <c r="J5822" t="s">
        <v>17737</v>
      </c>
      <c r="K5822">
        <f t="shared" si="90"/>
        <v>749.73567621365135</v>
      </c>
    </row>
    <row r="5823" spans="1:11" x14ac:dyDescent="0.2">
      <c r="A5823" t="s">
        <v>97</v>
      </c>
      <c r="B5823" t="s">
        <v>3147</v>
      </c>
      <c r="C5823" t="s">
        <v>17738</v>
      </c>
      <c r="D5823" t="s">
        <v>17739</v>
      </c>
      <c r="E5823" t="s">
        <v>92</v>
      </c>
      <c r="F5823" t="s">
        <v>24</v>
      </c>
      <c r="G5823" t="s">
        <v>17</v>
      </c>
      <c r="H5823">
        <f>13831*(1.01^10)</f>
        <v>15278.028616562373</v>
      </c>
      <c r="I5823">
        <f>46307*(1.01^10)</f>
        <v>51151.736761416658</v>
      </c>
      <c r="J5823" t="s">
        <v>17740</v>
      </c>
      <c r="K5823">
        <f t="shared" si="90"/>
        <v>154.71116911390791</v>
      </c>
    </row>
    <row r="5824" spans="1:11" x14ac:dyDescent="0.2">
      <c r="A5824" t="s">
        <v>97</v>
      </c>
      <c r="B5824" t="s">
        <v>2092</v>
      </c>
      <c r="C5824" t="s">
        <v>17741</v>
      </c>
      <c r="D5824" t="s">
        <v>17742</v>
      </c>
      <c r="E5824" t="s">
        <v>180</v>
      </c>
      <c r="F5824" t="s">
        <v>17</v>
      </c>
      <c r="G5824" t="s">
        <v>6</v>
      </c>
      <c r="H5824">
        <f>80645*(1.01^10)</f>
        <v>89082.251303786601</v>
      </c>
      <c r="I5824">
        <f>292301*(1.01^10)</f>
        <v>322882.15187982057</v>
      </c>
      <c r="J5824" t="s">
        <v>17743</v>
      </c>
      <c r="K5824">
        <f t="shared" si="90"/>
        <v>443.19789639465381</v>
      </c>
    </row>
    <row r="5825" spans="1:11" x14ac:dyDescent="0.2">
      <c r="A5825" t="s">
        <v>97</v>
      </c>
      <c r="B5825" t="s">
        <v>2092</v>
      </c>
      <c r="C5825" t="s">
        <v>17744</v>
      </c>
      <c r="D5825" t="s">
        <v>17745</v>
      </c>
      <c r="E5825" t="s">
        <v>1027</v>
      </c>
      <c r="F5825" t="s">
        <v>24</v>
      </c>
      <c r="G5825" t="s">
        <v>12</v>
      </c>
      <c r="H5825">
        <f>52829*(1.01^10)</f>
        <v>58356.082263348537</v>
      </c>
      <c r="I5825">
        <f>182600*(1.01^10)</f>
        <v>201704.00010008598</v>
      </c>
      <c r="J5825" t="s">
        <v>17746</v>
      </c>
      <c r="K5825">
        <f t="shared" si="90"/>
        <v>259.29888020235961</v>
      </c>
    </row>
    <row r="5826" spans="1:11" x14ac:dyDescent="0.2">
      <c r="A5826" t="s">
        <v>97</v>
      </c>
      <c r="B5826" t="s">
        <v>2092</v>
      </c>
      <c r="C5826" t="s">
        <v>17747</v>
      </c>
      <c r="D5826" t="s">
        <v>17748</v>
      </c>
      <c r="E5826" t="s">
        <v>164</v>
      </c>
      <c r="F5826" t="s">
        <v>405</v>
      </c>
      <c r="G5826" t="s">
        <v>92</v>
      </c>
      <c r="H5826">
        <f>79243*(1.01^10)</f>
        <v>87533.571083960094</v>
      </c>
      <c r="I5826">
        <f>324540*(1.01^10)</f>
        <v>358494.0645809524</v>
      </c>
      <c r="J5826" t="s">
        <v>17749</v>
      </c>
      <c r="K5826">
        <f t="shared" si="90"/>
        <v>339.41896730148443</v>
      </c>
    </row>
    <row r="5827" spans="1:11" x14ac:dyDescent="0.2">
      <c r="A5827" t="s">
        <v>97</v>
      </c>
      <c r="B5827" t="s">
        <v>2092</v>
      </c>
      <c r="C5827" t="s">
        <v>17750</v>
      </c>
      <c r="D5827" t="s">
        <v>17751</v>
      </c>
      <c r="E5827" t="s">
        <v>103</v>
      </c>
      <c r="F5827" t="s">
        <v>744</v>
      </c>
      <c r="G5827" t="s">
        <v>12</v>
      </c>
      <c r="H5827">
        <f>37470*(1.01^10)</f>
        <v>41390.191039157842</v>
      </c>
      <c r="I5827">
        <f>158687*(1.01^10)</f>
        <v>175289.17121512783</v>
      </c>
      <c r="J5827" t="s">
        <v>17752</v>
      </c>
      <c r="K5827">
        <f t="shared" ref="K5827:K5890" si="91">I5827/J5827</f>
        <v>305.42401869603265</v>
      </c>
    </row>
    <row r="5828" spans="1:11" x14ac:dyDescent="0.2">
      <c r="A5828" t="s">
        <v>97</v>
      </c>
      <c r="B5828" t="s">
        <v>2092</v>
      </c>
      <c r="C5828" t="s">
        <v>17753</v>
      </c>
      <c r="D5828" t="s">
        <v>17754</v>
      </c>
      <c r="E5828" t="s">
        <v>51</v>
      </c>
      <c r="F5828" t="s">
        <v>744</v>
      </c>
      <c r="G5828" t="s">
        <v>405</v>
      </c>
      <c r="H5828">
        <f>164608*(1.01^10)</f>
        <v>181829.63881968759</v>
      </c>
      <c r="I5828">
        <f>639910*(1.01^10)</f>
        <v>706858.74427188397</v>
      </c>
      <c r="J5828" t="s">
        <v>17755</v>
      </c>
      <c r="K5828">
        <f t="shared" si="91"/>
        <v>620.53350981499318</v>
      </c>
    </row>
    <row r="5829" spans="1:11" x14ac:dyDescent="0.2">
      <c r="A5829" t="s">
        <v>97</v>
      </c>
      <c r="B5829" t="s">
        <v>2092</v>
      </c>
      <c r="C5829" t="s">
        <v>17756</v>
      </c>
      <c r="D5829" t="s">
        <v>17691</v>
      </c>
      <c r="E5829" t="s">
        <v>422</v>
      </c>
      <c r="F5829" t="s">
        <v>24</v>
      </c>
      <c r="G5829" t="s">
        <v>11</v>
      </c>
      <c r="H5829">
        <f>41975*(1.01^10)</f>
        <v>46366.513714135319</v>
      </c>
      <c r="I5829">
        <f>159846*(1.01^10)</f>
        <v>176569.42825847943</v>
      </c>
      <c r="J5829" t="s">
        <v>17757</v>
      </c>
      <c r="K5829">
        <f t="shared" si="91"/>
        <v>709.30632249453481</v>
      </c>
    </row>
    <row r="5830" spans="1:11" x14ac:dyDescent="0.2">
      <c r="A5830" t="s">
        <v>97</v>
      </c>
      <c r="B5830" t="s">
        <v>2092</v>
      </c>
      <c r="C5830" t="s">
        <v>17758</v>
      </c>
      <c r="D5830" t="s">
        <v>17759</v>
      </c>
      <c r="E5830" t="s">
        <v>274</v>
      </c>
      <c r="F5830" t="s">
        <v>24</v>
      </c>
      <c r="G5830" t="s">
        <v>17</v>
      </c>
      <c r="H5830">
        <f>30771*(1.01^10)</f>
        <v>33990.327421028182</v>
      </c>
      <c r="I5830">
        <f>115250*(1.01^10)</f>
        <v>127307.69995364135</v>
      </c>
      <c r="J5830" t="s">
        <v>17760</v>
      </c>
      <c r="K5830">
        <f t="shared" si="91"/>
        <v>123.62696535850696</v>
      </c>
    </row>
    <row r="5831" spans="1:11" x14ac:dyDescent="0.2">
      <c r="A5831" t="s">
        <v>97</v>
      </c>
      <c r="B5831" t="s">
        <v>2092</v>
      </c>
      <c r="C5831" t="s">
        <v>17761</v>
      </c>
      <c r="D5831" t="s">
        <v>17762</v>
      </c>
      <c r="E5831" t="s">
        <v>829</v>
      </c>
      <c r="F5831" t="s">
        <v>17</v>
      </c>
      <c r="G5831" t="s">
        <v>92</v>
      </c>
      <c r="H5831">
        <f>73232*(1.01^10)</f>
        <v>80893.687488113341</v>
      </c>
      <c r="I5831">
        <f>286641*(1.01^10)</f>
        <v>316629.99064999312</v>
      </c>
      <c r="J5831" t="s">
        <v>17763</v>
      </c>
      <c r="K5831">
        <f t="shared" si="91"/>
        <v>657.3866126417704</v>
      </c>
    </row>
    <row r="5832" spans="1:11" x14ac:dyDescent="0.2">
      <c r="A5832" t="s">
        <v>97</v>
      </c>
      <c r="B5832" t="s">
        <v>5672</v>
      </c>
      <c r="C5832" t="s">
        <v>17764</v>
      </c>
      <c r="D5832" t="s">
        <v>17765</v>
      </c>
      <c r="E5832" t="s">
        <v>1027</v>
      </c>
      <c r="F5832" t="s">
        <v>24</v>
      </c>
      <c r="G5832" t="s">
        <v>17</v>
      </c>
      <c r="H5832">
        <f>53489*(1.01^10)</f>
        <v>59085.13286611993</v>
      </c>
      <c r="I5832">
        <f>183321*(1.01^10)</f>
        <v>202500.43265250747</v>
      </c>
      <c r="J5832" t="s">
        <v>17766</v>
      </c>
      <c r="K5832">
        <f t="shared" si="91"/>
        <v>206.60750462406864</v>
      </c>
    </row>
    <row r="5833" spans="1:11" x14ac:dyDescent="0.2">
      <c r="A5833" t="s">
        <v>97</v>
      </c>
      <c r="B5833" t="s">
        <v>5672</v>
      </c>
      <c r="C5833" t="s">
        <v>17767</v>
      </c>
      <c r="D5833" t="s">
        <v>17768</v>
      </c>
      <c r="E5833" t="s">
        <v>520</v>
      </c>
      <c r="F5833" t="s">
        <v>24</v>
      </c>
      <c r="G5833" t="s">
        <v>382</v>
      </c>
      <c r="H5833">
        <f>125412*(1.01^10)</f>
        <v>138532.86999207002</v>
      </c>
      <c r="I5833">
        <f>445389*(1.01^10)</f>
        <v>491986.54381477105</v>
      </c>
      <c r="J5833" t="s">
        <v>17769</v>
      </c>
      <c r="K5833">
        <f t="shared" si="91"/>
        <v>808.57443296254678</v>
      </c>
    </row>
    <row r="5834" spans="1:11" x14ac:dyDescent="0.2">
      <c r="A5834" t="s">
        <v>97</v>
      </c>
      <c r="B5834" t="s">
        <v>5672</v>
      </c>
      <c r="C5834" t="s">
        <v>17770</v>
      </c>
      <c r="D5834" t="s">
        <v>17771</v>
      </c>
      <c r="E5834" t="s">
        <v>796</v>
      </c>
      <c r="F5834" t="s">
        <v>24</v>
      </c>
      <c r="G5834" t="s">
        <v>17</v>
      </c>
      <c r="H5834">
        <f>31279*(1.01^10)</f>
        <v>34551.475460737071</v>
      </c>
      <c r="I5834">
        <f>119213*(1.01^10)</f>
        <v>131685.31743664594</v>
      </c>
      <c r="J5834" t="s">
        <v>17772</v>
      </c>
      <c r="K5834">
        <f t="shared" si="91"/>
        <v>335.14824538134718</v>
      </c>
    </row>
    <row r="5835" spans="1:11" x14ac:dyDescent="0.2">
      <c r="A5835" t="s">
        <v>97</v>
      </c>
      <c r="B5835" t="s">
        <v>5672</v>
      </c>
      <c r="C5835" t="s">
        <v>17773</v>
      </c>
      <c r="D5835" t="s">
        <v>17774</v>
      </c>
      <c r="E5835" t="s">
        <v>1506</v>
      </c>
      <c r="F5835" t="s">
        <v>12</v>
      </c>
      <c r="G5835" t="s">
        <v>11</v>
      </c>
      <c r="H5835">
        <f>50997*(1.01^10)</f>
        <v>56332.414529595211</v>
      </c>
      <c r="I5835">
        <f>206731*(1.01^10)</f>
        <v>228359.63660838376</v>
      </c>
      <c r="J5835" t="s">
        <v>17775</v>
      </c>
      <c r="K5835">
        <f t="shared" si="91"/>
        <v>461.74835786773406</v>
      </c>
    </row>
    <row r="5836" spans="1:11" x14ac:dyDescent="0.2">
      <c r="A5836" t="s">
        <v>97</v>
      </c>
      <c r="B5836" t="s">
        <v>5672</v>
      </c>
      <c r="C5836" t="s">
        <v>17776</v>
      </c>
      <c r="D5836" t="s">
        <v>17777</v>
      </c>
      <c r="E5836" t="s">
        <v>796</v>
      </c>
      <c r="F5836" t="s">
        <v>24</v>
      </c>
      <c r="G5836" t="s">
        <v>24</v>
      </c>
      <c r="H5836">
        <f>25918*(1.01^10)</f>
        <v>28629.596246407604</v>
      </c>
      <c r="I5836">
        <f>109839*(1.01^10)</f>
        <v>121330.58963304132</v>
      </c>
      <c r="J5836" t="s">
        <v>17778</v>
      </c>
      <c r="K5836">
        <f t="shared" si="91"/>
        <v>283.51843692748395</v>
      </c>
    </row>
    <row r="5837" spans="1:11" x14ac:dyDescent="0.2">
      <c r="A5837" t="s">
        <v>97</v>
      </c>
      <c r="B5837" t="s">
        <v>1517</v>
      </c>
      <c r="C5837" t="s">
        <v>17779</v>
      </c>
      <c r="D5837" t="s">
        <v>17780</v>
      </c>
      <c r="E5837" t="s">
        <v>313</v>
      </c>
      <c r="F5837" t="s">
        <v>24</v>
      </c>
      <c r="G5837" t="s">
        <v>17</v>
      </c>
      <c r="H5837">
        <f>36936*(1.01^10)</f>
        <v>40800.322824188261</v>
      </c>
      <c r="I5837">
        <f>135120*(1.01^10)</f>
        <v>149256.54158556199</v>
      </c>
      <c r="J5837" t="s">
        <v>17781</v>
      </c>
      <c r="K5837">
        <f t="shared" si="91"/>
        <v>538.49363046537928</v>
      </c>
    </row>
    <row r="5838" spans="1:11" x14ac:dyDescent="0.2">
      <c r="A5838" t="s">
        <v>97</v>
      </c>
      <c r="B5838" t="s">
        <v>1517</v>
      </c>
      <c r="C5838" t="s">
        <v>17782</v>
      </c>
      <c r="D5838" t="s">
        <v>17783</v>
      </c>
      <c r="E5838" t="s">
        <v>612</v>
      </c>
      <c r="F5838" t="s">
        <v>24</v>
      </c>
      <c r="G5838" t="s">
        <v>11</v>
      </c>
      <c r="H5838">
        <f>63161*(1.01^10)</f>
        <v>69769.038063097105</v>
      </c>
      <c r="I5838">
        <f>231655*(1.01^10)</f>
        <v>255891.23846213263</v>
      </c>
      <c r="J5838" t="s">
        <v>17784</v>
      </c>
      <c r="K5838">
        <f t="shared" si="91"/>
        <v>382.369561926622</v>
      </c>
    </row>
    <row r="5839" spans="1:11" x14ac:dyDescent="0.2">
      <c r="A5839" t="s">
        <v>97</v>
      </c>
      <c r="B5839" t="s">
        <v>1517</v>
      </c>
      <c r="C5839" t="s">
        <v>17785</v>
      </c>
      <c r="D5839" t="s">
        <v>17786</v>
      </c>
      <c r="E5839" t="s">
        <v>3122</v>
      </c>
      <c r="F5839" t="s">
        <v>56</v>
      </c>
      <c r="G5839" t="s">
        <v>11</v>
      </c>
      <c r="H5839">
        <f>69677*(1.01^10)</f>
        <v>76966.755832276511</v>
      </c>
      <c r="I5839">
        <f>249327*(1.01^10)</f>
        <v>275412.12066239945</v>
      </c>
      <c r="J5839" t="s">
        <v>17787</v>
      </c>
      <c r="K5839">
        <f t="shared" si="91"/>
        <v>342.07672722302527</v>
      </c>
    </row>
    <row r="5840" spans="1:11" x14ac:dyDescent="0.2">
      <c r="A5840" t="s">
        <v>97</v>
      </c>
      <c r="B5840" t="s">
        <v>1517</v>
      </c>
      <c r="C5840" t="s">
        <v>17788</v>
      </c>
      <c r="D5840" t="s">
        <v>17789</v>
      </c>
      <c r="E5840" t="s">
        <v>16</v>
      </c>
      <c r="F5840" t="s">
        <v>12</v>
      </c>
      <c r="G5840" t="s">
        <v>11</v>
      </c>
      <c r="H5840">
        <f>49878*(1.01^10)</f>
        <v>55096.342371260071</v>
      </c>
      <c r="I5840">
        <f>192869*(1.01^10)</f>
        <v>213047.36470593364</v>
      </c>
      <c r="J5840" t="s">
        <v>17790</v>
      </c>
      <c r="K5840">
        <f t="shared" si="91"/>
        <v>568.61781234873183</v>
      </c>
    </row>
    <row r="5841" spans="1:11" x14ac:dyDescent="0.2">
      <c r="A5841" t="s">
        <v>97</v>
      </c>
      <c r="B5841" t="s">
        <v>1517</v>
      </c>
      <c r="C5841" t="s">
        <v>17791</v>
      </c>
      <c r="D5841" t="s">
        <v>17792</v>
      </c>
      <c r="E5841" t="s">
        <v>484</v>
      </c>
      <c r="F5841" t="s">
        <v>12</v>
      </c>
      <c r="G5841" t="s">
        <v>92</v>
      </c>
      <c r="H5841">
        <f>67722*(1.01^10)</f>
        <v>74807.21957709761</v>
      </c>
      <c r="I5841">
        <f>254865*(1.01^10)</f>
        <v>281529.5179929267</v>
      </c>
      <c r="J5841" t="s">
        <v>17793</v>
      </c>
      <c r="K5841">
        <f t="shared" si="91"/>
        <v>475.40875688560584</v>
      </c>
    </row>
    <row r="5842" spans="1:11" x14ac:dyDescent="0.2">
      <c r="A5842" t="s">
        <v>97</v>
      </c>
      <c r="B5842" t="s">
        <v>1517</v>
      </c>
      <c r="C5842" t="s">
        <v>17794</v>
      </c>
      <c r="D5842" t="s">
        <v>17795</v>
      </c>
      <c r="E5842" t="s">
        <v>23</v>
      </c>
      <c r="F5842" t="s">
        <v>24</v>
      </c>
      <c r="G5842" t="s">
        <v>11</v>
      </c>
      <c r="H5842">
        <f>51860*(1.01^10)</f>
        <v>57285.703423825078</v>
      </c>
      <c r="I5842">
        <f>207494*(1.01^10)</f>
        <v>229202.46329007251</v>
      </c>
      <c r="J5842" t="s">
        <v>17796</v>
      </c>
      <c r="K5842">
        <f t="shared" si="91"/>
        <v>634.64432661738226</v>
      </c>
    </row>
    <row r="5843" spans="1:11" x14ac:dyDescent="0.2">
      <c r="A5843" t="s">
        <v>97</v>
      </c>
      <c r="B5843" t="s">
        <v>1517</v>
      </c>
      <c r="C5843" t="s">
        <v>17797</v>
      </c>
      <c r="D5843" t="s">
        <v>17798</v>
      </c>
      <c r="E5843" t="s">
        <v>12</v>
      </c>
      <c r="F5843" t="s">
        <v>24</v>
      </c>
      <c r="G5843" t="s">
        <v>12</v>
      </c>
      <c r="H5843">
        <f>215194*(1.01^10)</f>
        <v>237708.0536557388</v>
      </c>
      <c r="I5843">
        <f>850073*(1.01^10)</f>
        <v>939009.44401467906</v>
      </c>
      <c r="J5843" t="s">
        <v>17799</v>
      </c>
      <c r="K5843">
        <f t="shared" si="91"/>
        <v>13214.814282941777</v>
      </c>
    </row>
    <row r="5844" spans="1:11" x14ac:dyDescent="0.2">
      <c r="A5844" t="s">
        <v>97</v>
      </c>
      <c r="B5844" t="s">
        <v>1517</v>
      </c>
      <c r="C5844" t="s">
        <v>17800</v>
      </c>
      <c r="D5844" t="s">
        <v>17801</v>
      </c>
      <c r="E5844" t="s">
        <v>445</v>
      </c>
      <c r="F5844" t="s">
        <v>24</v>
      </c>
      <c r="G5844" t="s">
        <v>744</v>
      </c>
      <c r="H5844">
        <f>56678*(1.01^10)</f>
        <v>62607.772824056265</v>
      </c>
      <c r="I5844">
        <f>225517*(1.01^10)</f>
        <v>249111.06785635866</v>
      </c>
      <c r="J5844" t="s">
        <v>17802</v>
      </c>
      <c r="K5844">
        <f t="shared" si="91"/>
        <v>930.36094865153825</v>
      </c>
    </row>
    <row r="5845" spans="1:11" x14ac:dyDescent="0.2">
      <c r="A5845" t="s">
        <v>97</v>
      </c>
      <c r="B5845" t="s">
        <v>1517</v>
      </c>
      <c r="C5845" t="s">
        <v>17803</v>
      </c>
      <c r="D5845" t="s">
        <v>17804</v>
      </c>
      <c r="E5845" t="s">
        <v>611</v>
      </c>
      <c r="F5845" t="s">
        <v>405</v>
      </c>
      <c r="G5845" t="s">
        <v>17</v>
      </c>
      <c r="H5845">
        <f>87298*(1.01^10)</f>
        <v>96431.30230414735</v>
      </c>
      <c r="I5845">
        <f>375370*(1.01^10)</f>
        <v>414642.00721560395</v>
      </c>
      <c r="J5845" t="s">
        <v>17805</v>
      </c>
      <c r="K5845">
        <f t="shared" si="91"/>
        <v>380.17632021859106</v>
      </c>
    </row>
    <row r="5846" spans="1:11" x14ac:dyDescent="0.2">
      <c r="A5846" t="s">
        <v>97</v>
      </c>
      <c r="B5846" t="s">
        <v>17806</v>
      </c>
      <c r="C5846" t="s">
        <v>17807</v>
      </c>
      <c r="D5846" t="s">
        <v>17808</v>
      </c>
      <c r="E5846" t="s">
        <v>72</v>
      </c>
      <c r="F5846" t="s">
        <v>92</v>
      </c>
      <c r="G5846" t="s">
        <v>17</v>
      </c>
      <c r="H5846">
        <f>40525*(1.01^10)</f>
        <v>44764.811632289071</v>
      </c>
      <c r="I5846">
        <f>148743*(1.01^10)</f>
        <v>164304.80880003882</v>
      </c>
      <c r="J5846" t="s">
        <v>17809</v>
      </c>
      <c r="K5846">
        <f t="shared" si="91"/>
        <v>285.81725949731185</v>
      </c>
    </row>
    <row r="5847" spans="1:11" x14ac:dyDescent="0.2">
      <c r="A5847" t="s">
        <v>97</v>
      </c>
      <c r="B5847" t="s">
        <v>17806</v>
      </c>
      <c r="C5847" t="s">
        <v>17810</v>
      </c>
      <c r="D5847" t="s">
        <v>17811</v>
      </c>
      <c r="E5847" t="s">
        <v>77</v>
      </c>
      <c r="F5847" t="s">
        <v>5</v>
      </c>
      <c r="G5847" t="s">
        <v>17</v>
      </c>
      <c r="H5847">
        <f>41709*(1.01^10)</f>
        <v>46072.684228775935</v>
      </c>
      <c r="I5847">
        <f>162356*(1.01^10)</f>
        <v>179342.02979326155</v>
      </c>
      <c r="J5847" t="s">
        <v>17812</v>
      </c>
      <c r="K5847">
        <f t="shared" si="91"/>
        <v>546.77022662596914</v>
      </c>
    </row>
    <row r="5848" spans="1:11" x14ac:dyDescent="0.2">
      <c r="A5848" t="s">
        <v>97</v>
      </c>
      <c r="B5848" t="s">
        <v>17806</v>
      </c>
      <c r="C5848" t="s">
        <v>17813</v>
      </c>
      <c r="D5848" t="s">
        <v>17814</v>
      </c>
      <c r="E5848" t="s">
        <v>484</v>
      </c>
      <c r="F5848" t="s">
        <v>11</v>
      </c>
      <c r="G5848" t="s">
        <v>12</v>
      </c>
      <c r="H5848">
        <f>67009*(1.01^10)</f>
        <v>74019.624001679418</v>
      </c>
      <c r="I5848">
        <f>254124*(1.01^10)</f>
        <v>280710.99299799697</v>
      </c>
      <c r="J5848" t="s">
        <v>17815</v>
      </c>
      <c r="K5848">
        <f t="shared" si="91"/>
        <v>329.03358943204978</v>
      </c>
    </row>
    <row r="5849" spans="1:11" x14ac:dyDescent="0.2">
      <c r="A5849" t="s">
        <v>97</v>
      </c>
      <c r="B5849" t="s">
        <v>17816</v>
      </c>
      <c r="C5849" t="s">
        <v>17817</v>
      </c>
      <c r="D5849" t="s">
        <v>17818</v>
      </c>
      <c r="E5849" t="s">
        <v>56</v>
      </c>
      <c r="F5849" t="s">
        <v>24</v>
      </c>
      <c r="G5849" t="s">
        <v>24</v>
      </c>
      <c r="H5849">
        <f>29258*(1.01^10)</f>
        <v>32319.034145281028</v>
      </c>
      <c r="I5849">
        <f>111891*(1.01^10)</f>
        <v>123597.27423438511</v>
      </c>
      <c r="J5849" t="s">
        <v>17819</v>
      </c>
      <c r="K5849">
        <f t="shared" si="91"/>
        <v>390.15690193345159</v>
      </c>
    </row>
    <row r="5850" spans="1:11" x14ac:dyDescent="0.2">
      <c r="A5850" t="s">
        <v>97</v>
      </c>
      <c r="B5850" t="s">
        <v>17816</v>
      </c>
      <c r="C5850" t="s">
        <v>17820</v>
      </c>
      <c r="D5850" t="s">
        <v>17821</v>
      </c>
      <c r="E5850" t="s">
        <v>172</v>
      </c>
      <c r="F5850" t="s">
        <v>726</v>
      </c>
      <c r="G5850" t="s">
        <v>11</v>
      </c>
      <c r="H5850">
        <f>100129*(1.01^10)</f>
        <v>110604.70879529852</v>
      </c>
      <c r="I5850">
        <f>387194*(1.01^10)</f>
        <v>427703.05922646599</v>
      </c>
      <c r="J5850" t="s">
        <v>17822</v>
      </c>
      <c r="K5850">
        <f t="shared" si="91"/>
        <v>455.52284684022624</v>
      </c>
    </row>
    <row r="5851" spans="1:11" x14ac:dyDescent="0.2">
      <c r="A5851" t="s">
        <v>97</v>
      </c>
      <c r="B5851" t="s">
        <v>17816</v>
      </c>
      <c r="C5851" t="s">
        <v>17823</v>
      </c>
      <c r="D5851" t="s">
        <v>17824</v>
      </c>
      <c r="E5851" t="s">
        <v>998</v>
      </c>
      <c r="F5851" t="s">
        <v>24</v>
      </c>
      <c r="G5851" t="s">
        <v>12</v>
      </c>
      <c r="H5851">
        <f>67703*(1.01^10)</f>
        <v>74786.231756714798</v>
      </c>
      <c r="I5851">
        <f>255809*(1.01^10)</f>
        <v>282572.28127931489</v>
      </c>
      <c r="J5851" t="s">
        <v>17825</v>
      </c>
      <c r="K5851">
        <f t="shared" si="91"/>
        <v>412.9449090281912</v>
      </c>
    </row>
    <row r="5852" spans="1:11" x14ac:dyDescent="0.2">
      <c r="A5852" t="s">
        <v>97</v>
      </c>
      <c r="B5852" t="s">
        <v>1771</v>
      </c>
      <c r="C5852" t="s">
        <v>17826</v>
      </c>
      <c r="D5852" t="s">
        <v>17827</v>
      </c>
      <c r="E5852" t="s">
        <v>410</v>
      </c>
      <c r="F5852" t="s">
        <v>318</v>
      </c>
      <c r="G5852" t="s">
        <v>92</v>
      </c>
      <c r="H5852">
        <f>98171*(1.01^10)</f>
        <v>108441.85867374338</v>
      </c>
      <c r="I5852">
        <f>413639*(1.01^10)</f>
        <v>456914.79133296531</v>
      </c>
      <c r="J5852" t="s">
        <v>17828</v>
      </c>
      <c r="K5852">
        <f t="shared" si="91"/>
        <v>917.03486800235498</v>
      </c>
    </row>
    <row r="5853" spans="1:11" x14ac:dyDescent="0.2">
      <c r="A5853" t="s">
        <v>97</v>
      </c>
      <c r="B5853" t="s">
        <v>1771</v>
      </c>
      <c r="C5853" t="s">
        <v>17829</v>
      </c>
      <c r="D5853" t="s">
        <v>17830</v>
      </c>
      <c r="E5853" t="s">
        <v>537</v>
      </c>
      <c r="F5853" t="s">
        <v>24</v>
      </c>
      <c r="G5853" t="s">
        <v>5</v>
      </c>
      <c r="H5853">
        <f>103687*(1.01^10)</f>
        <v>114534.95431751158</v>
      </c>
      <c r="I5853">
        <f>426466*(1.01^10)</f>
        <v>471083.77933561482</v>
      </c>
      <c r="J5853" t="s">
        <v>17831</v>
      </c>
      <c r="K5853">
        <f t="shared" si="91"/>
        <v>1528.0439422217034</v>
      </c>
    </row>
    <row r="5854" spans="1:11" x14ac:dyDescent="0.2">
      <c r="A5854" t="s">
        <v>97</v>
      </c>
      <c r="B5854" t="s">
        <v>1771</v>
      </c>
      <c r="C5854" t="s">
        <v>17832</v>
      </c>
      <c r="D5854" t="s">
        <v>17833</v>
      </c>
      <c r="E5854" t="s">
        <v>619</v>
      </c>
      <c r="F5854" t="s">
        <v>24</v>
      </c>
      <c r="G5854" t="s">
        <v>11</v>
      </c>
      <c r="H5854">
        <f>81536*(1.01^10)</f>
        <v>90066.469617527997</v>
      </c>
      <c r="I5854">
        <f>331755*(1.01^10)</f>
        <v>366463.91321579425</v>
      </c>
      <c r="J5854" t="s">
        <v>17834</v>
      </c>
      <c r="K5854">
        <f t="shared" si="91"/>
        <v>948.80717900567288</v>
      </c>
    </row>
    <row r="5855" spans="1:11" x14ac:dyDescent="0.2">
      <c r="A5855" t="s">
        <v>97</v>
      </c>
      <c r="B5855" t="s">
        <v>1771</v>
      </c>
      <c r="C5855" t="s">
        <v>17835</v>
      </c>
      <c r="D5855" t="s">
        <v>17836</v>
      </c>
      <c r="E5855" t="s">
        <v>809</v>
      </c>
      <c r="F5855" t="s">
        <v>11</v>
      </c>
      <c r="G5855" t="s">
        <v>744</v>
      </c>
      <c r="H5855">
        <f>114074*(1.01^10)</f>
        <v>126008.66433415777</v>
      </c>
      <c r="I5855">
        <f>467909*(1.01^10)</f>
        <v>516862.63407903141</v>
      </c>
      <c r="J5855" t="s">
        <v>17837</v>
      </c>
      <c r="K5855">
        <f t="shared" si="91"/>
        <v>863.59577319398318</v>
      </c>
    </row>
    <row r="5856" spans="1:11" x14ac:dyDescent="0.2">
      <c r="A5856" t="s">
        <v>97</v>
      </c>
      <c r="B5856" t="s">
        <v>1771</v>
      </c>
      <c r="C5856" t="s">
        <v>17838</v>
      </c>
      <c r="D5856" t="s">
        <v>17839</v>
      </c>
      <c r="E5856" t="s">
        <v>1446</v>
      </c>
      <c r="F5856" t="s">
        <v>24</v>
      </c>
      <c r="G5856" t="s">
        <v>11</v>
      </c>
      <c r="H5856">
        <f>67752*(1.01^10)</f>
        <v>74840.358240859947</v>
      </c>
      <c r="I5856">
        <f>276947*(1.01^10)</f>
        <v>305921.78376625694</v>
      </c>
      <c r="J5856" t="s">
        <v>17840</v>
      </c>
      <c r="K5856">
        <f t="shared" si="91"/>
        <v>672.18668071924333</v>
      </c>
    </row>
    <row r="5857" spans="1:11" x14ac:dyDescent="0.2">
      <c r="A5857" t="s">
        <v>97</v>
      </c>
      <c r="B5857" t="s">
        <v>1771</v>
      </c>
      <c r="C5857" t="s">
        <v>17841</v>
      </c>
      <c r="D5857" t="s">
        <v>17842</v>
      </c>
      <c r="E5857" t="s">
        <v>1441</v>
      </c>
      <c r="F5857" t="s">
        <v>6</v>
      </c>
      <c r="G5857" t="s">
        <v>5</v>
      </c>
      <c r="H5857">
        <f>105142*(1.01^10)</f>
        <v>116142.17950998488</v>
      </c>
      <c r="I5857">
        <f>426592*(1.01^10)</f>
        <v>471222.96172341664</v>
      </c>
      <c r="J5857" t="s">
        <v>17843</v>
      </c>
      <c r="K5857">
        <f t="shared" si="91"/>
        <v>558.10945096106786</v>
      </c>
    </row>
    <row r="5858" spans="1:11" x14ac:dyDescent="0.2">
      <c r="A5858" t="s">
        <v>97</v>
      </c>
      <c r="B5858" t="s">
        <v>1771</v>
      </c>
      <c r="C5858" t="s">
        <v>17844</v>
      </c>
      <c r="D5858" t="s">
        <v>17845</v>
      </c>
      <c r="E5858" t="s">
        <v>404</v>
      </c>
      <c r="F5858" t="s">
        <v>92</v>
      </c>
      <c r="G5858" t="s">
        <v>17</v>
      </c>
      <c r="H5858">
        <f>65216*(1.01^10)</f>
        <v>72039.036530817131</v>
      </c>
      <c r="I5858">
        <f>262606*(1.01^10)</f>
        <v>290080.39786573482</v>
      </c>
      <c r="J5858" t="s">
        <v>17846</v>
      </c>
      <c r="K5858">
        <f t="shared" si="91"/>
        <v>473.76759222668102</v>
      </c>
    </row>
    <row r="5859" spans="1:11" x14ac:dyDescent="0.2">
      <c r="A5859" t="s">
        <v>97</v>
      </c>
      <c r="B5859" t="s">
        <v>4026</v>
      </c>
      <c r="C5859" t="s">
        <v>17847</v>
      </c>
      <c r="D5859" t="s">
        <v>17848</v>
      </c>
      <c r="E5859" t="s">
        <v>324</v>
      </c>
      <c r="F5859" t="s">
        <v>24</v>
      </c>
      <c r="G5859" t="s">
        <v>17</v>
      </c>
      <c r="H5859">
        <f>80767*(1.01^10)</f>
        <v>89217.015203086776</v>
      </c>
      <c r="I5859">
        <f>319715*(1.01^10)</f>
        <v>353164.26282584335</v>
      </c>
      <c r="J5859" t="s">
        <v>17849</v>
      </c>
      <c r="K5859">
        <f t="shared" si="91"/>
        <v>768.90341466955283</v>
      </c>
    </row>
    <row r="5860" spans="1:11" x14ac:dyDescent="0.2">
      <c r="A5860" t="s">
        <v>97</v>
      </c>
      <c r="B5860" t="s">
        <v>4026</v>
      </c>
      <c r="C5860" t="s">
        <v>17850</v>
      </c>
      <c r="D5860" t="s">
        <v>17851</v>
      </c>
      <c r="E5860" t="s">
        <v>612</v>
      </c>
      <c r="F5860" t="s">
        <v>24</v>
      </c>
      <c r="G5860" t="s">
        <v>17</v>
      </c>
      <c r="H5860">
        <f>65163*(1.01^10)</f>
        <v>71980.491558170339</v>
      </c>
      <c r="I5860">
        <f>259634*(1.01^10)</f>
        <v>286797.46090901271</v>
      </c>
      <c r="J5860" t="s">
        <v>17852</v>
      </c>
      <c r="K5860">
        <f t="shared" si="91"/>
        <v>1113.5240356981556</v>
      </c>
    </row>
    <row r="5861" spans="1:11" x14ac:dyDescent="0.2">
      <c r="A5861" t="s">
        <v>97</v>
      </c>
      <c r="B5861" t="s">
        <v>4026</v>
      </c>
      <c r="C5861" t="s">
        <v>17853</v>
      </c>
      <c r="D5861" t="s">
        <v>17854</v>
      </c>
      <c r="E5861" t="s">
        <v>3122</v>
      </c>
      <c r="F5861" t="s">
        <v>12</v>
      </c>
      <c r="G5861" t="s">
        <v>12</v>
      </c>
      <c r="H5861">
        <f>32952*(1.01^10)</f>
        <v>36399.508276550019</v>
      </c>
      <c r="I5861">
        <f>131948*(1.01^10)</f>
        <v>145752.68020375766</v>
      </c>
      <c r="J5861" t="s">
        <v>17855</v>
      </c>
      <c r="K5861">
        <f t="shared" si="91"/>
        <v>852.83101125221606</v>
      </c>
    </row>
    <row r="5862" spans="1:11" x14ac:dyDescent="0.2">
      <c r="A5862" t="s">
        <v>97</v>
      </c>
      <c r="B5862" t="s">
        <v>4026</v>
      </c>
      <c r="C5862" t="s">
        <v>17856</v>
      </c>
      <c r="D5862" t="s">
        <v>17857</v>
      </c>
      <c r="E5862" t="s">
        <v>232</v>
      </c>
      <c r="F5862" t="s">
        <v>12</v>
      </c>
      <c r="G5862" t="s">
        <v>12</v>
      </c>
      <c r="H5862">
        <f>51611*(1.01^10)</f>
        <v>57010.652514597685</v>
      </c>
      <c r="I5862">
        <f>207059*(1.01^10)</f>
        <v>228721.95266551865</v>
      </c>
      <c r="J5862" t="s">
        <v>17858</v>
      </c>
      <c r="K5862">
        <f t="shared" si="91"/>
        <v>812.27891444938655</v>
      </c>
    </row>
    <row r="5863" spans="1:11" x14ac:dyDescent="0.2">
      <c r="A5863" t="s">
        <v>97</v>
      </c>
      <c r="B5863" t="s">
        <v>4026</v>
      </c>
      <c r="C5863" t="s">
        <v>17859</v>
      </c>
      <c r="D5863" t="s">
        <v>17860</v>
      </c>
      <c r="E5863" t="s">
        <v>1101</v>
      </c>
      <c r="F5863" t="s">
        <v>24</v>
      </c>
      <c r="G5863" t="s">
        <v>5</v>
      </c>
      <c r="H5863">
        <f>70683*(1.01^10)</f>
        <v>78078.005690440186</v>
      </c>
      <c r="I5863">
        <f>282784*(1.01^10)</f>
        <v>312369.4631122821</v>
      </c>
      <c r="J5863" t="s">
        <v>17861</v>
      </c>
      <c r="K5863">
        <f t="shared" si="91"/>
        <v>1014.1995886187837</v>
      </c>
    </row>
    <row r="5864" spans="1:11" x14ac:dyDescent="0.2">
      <c r="A5864" t="s">
        <v>97</v>
      </c>
      <c r="B5864" t="s">
        <v>4026</v>
      </c>
      <c r="C5864" t="s">
        <v>17862</v>
      </c>
      <c r="D5864" t="s">
        <v>17863</v>
      </c>
      <c r="E5864" t="s">
        <v>619</v>
      </c>
      <c r="F5864" t="s">
        <v>24</v>
      </c>
      <c r="G5864" t="s">
        <v>17</v>
      </c>
      <c r="H5864">
        <f>36871*(1.01^10)</f>
        <v>40728.522386036529</v>
      </c>
      <c r="I5864">
        <f>138474*(1.01^10)</f>
        <v>152961.44419419116</v>
      </c>
      <c r="J5864" t="s">
        <v>17864</v>
      </c>
      <c r="K5864">
        <f t="shared" si="91"/>
        <v>547.47394442122697</v>
      </c>
    </row>
    <row r="5865" spans="1:11" x14ac:dyDescent="0.2">
      <c r="A5865" t="s">
        <v>97</v>
      </c>
      <c r="B5865" t="s">
        <v>4026</v>
      </c>
      <c r="C5865" t="s">
        <v>17865</v>
      </c>
      <c r="D5865" t="s">
        <v>17866</v>
      </c>
      <c r="E5865" t="s">
        <v>1506</v>
      </c>
      <c r="F5865" t="s">
        <v>24</v>
      </c>
      <c r="G5865" t="s">
        <v>24</v>
      </c>
      <c r="H5865">
        <f>16202*(1.01^10)</f>
        <v>17897.087675912338</v>
      </c>
      <c r="I5865">
        <f>60771*(1.01^10)</f>
        <v>67128.991183364327</v>
      </c>
      <c r="J5865" t="s">
        <v>17867</v>
      </c>
      <c r="K5865">
        <f t="shared" si="91"/>
        <v>463.61201718044714</v>
      </c>
    </row>
    <row r="5866" spans="1:11" x14ac:dyDescent="0.2">
      <c r="A5866" t="s">
        <v>97</v>
      </c>
      <c r="B5866" t="s">
        <v>4026</v>
      </c>
      <c r="C5866" t="s">
        <v>17868</v>
      </c>
      <c r="D5866" t="s">
        <v>17869</v>
      </c>
      <c r="E5866" t="s">
        <v>2795</v>
      </c>
      <c r="F5866" t="s">
        <v>11</v>
      </c>
      <c r="G5866" t="s">
        <v>17</v>
      </c>
      <c r="H5866">
        <f>59588*(1.01^10)</f>
        <v>65822.22320900287</v>
      </c>
      <c r="I5866">
        <f>216065*(1.01^10)</f>
        <v>238670.17952697194</v>
      </c>
      <c r="J5866" t="s">
        <v>17870</v>
      </c>
      <c r="K5866">
        <f t="shared" si="91"/>
        <v>357.58067208834836</v>
      </c>
    </row>
    <row r="5867" spans="1:11" x14ac:dyDescent="0.2">
      <c r="A5867" t="s">
        <v>97</v>
      </c>
      <c r="B5867" t="s">
        <v>2838</v>
      </c>
      <c r="C5867" t="s">
        <v>17871</v>
      </c>
      <c r="D5867" t="s">
        <v>17872</v>
      </c>
      <c r="E5867" t="s">
        <v>121</v>
      </c>
      <c r="F5867" t="s">
        <v>17</v>
      </c>
      <c r="G5867" t="s">
        <v>12</v>
      </c>
      <c r="H5867">
        <f>25114*(1.01^10)</f>
        <v>27741.480057576995</v>
      </c>
      <c r="I5867">
        <f>100645*(1.01^10)</f>
        <v>111174.69381201071</v>
      </c>
      <c r="J5867" t="s">
        <v>17873</v>
      </c>
      <c r="K5867">
        <f t="shared" si="91"/>
        <v>546.01881203982691</v>
      </c>
    </row>
    <row r="5868" spans="1:11" x14ac:dyDescent="0.2">
      <c r="A5868" t="s">
        <v>97</v>
      </c>
      <c r="B5868" t="s">
        <v>2838</v>
      </c>
      <c r="C5868" t="s">
        <v>17874</v>
      </c>
      <c r="D5868" t="s">
        <v>17875</v>
      </c>
      <c r="E5868" t="s">
        <v>977</v>
      </c>
      <c r="F5868" t="s">
        <v>12</v>
      </c>
      <c r="G5868" t="s">
        <v>17</v>
      </c>
      <c r="H5868">
        <f>52370*(1.01^10)</f>
        <v>57849.060707784789</v>
      </c>
      <c r="I5868">
        <f>203157*(1.01^10)</f>
        <v>224411.71713216414</v>
      </c>
      <c r="J5868" t="s">
        <v>17876</v>
      </c>
      <c r="K5868">
        <f t="shared" si="91"/>
        <v>693.34909928962134</v>
      </c>
    </row>
    <row r="5869" spans="1:11" x14ac:dyDescent="0.2">
      <c r="A5869" t="s">
        <v>97</v>
      </c>
      <c r="B5869" t="s">
        <v>2838</v>
      </c>
      <c r="C5869" t="s">
        <v>17877</v>
      </c>
      <c r="D5869" t="s">
        <v>17878</v>
      </c>
      <c r="E5869" t="s">
        <v>535</v>
      </c>
      <c r="F5869" t="s">
        <v>24</v>
      </c>
      <c r="G5869" t="s">
        <v>17</v>
      </c>
      <c r="H5869">
        <f>35102*(1.01^10)</f>
        <v>38774.445846184106</v>
      </c>
      <c r="I5869">
        <f>137964*(1.01^10)</f>
        <v>152398.08691023145</v>
      </c>
      <c r="J5869" t="s">
        <v>17879</v>
      </c>
      <c r="K5869">
        <f t="shared" si="91"/>
        <v>639.29229970255824</v>
      </c>
    </row>
    <row r="5870" spans="1:11" x14ac:dyDescent="0.2">
      <c r="A5870" t="s">
        <v>97</v>
      </c>
      <c r="B5870" t="s">
        <v>2838</v>
      </c>
      <c r="C5870" t="s">
        <v>17880</v>
      </c>
      <c r="D5870" t="s">
        <v>17881</v>
      </c>
      <c r="E5870" t="s">
        <v>333</v>
      </c>
      <c r="F5870" t="s">
        <v>24</v>
      </c>
      <c r="G5870" t="s">
        <v>12</v>
      </c>
      <c r="H5870">
        <f>39243*(1.01^10)</f>
        <v>43348.68606751191</v>
      </c>
      <c r="I5870">
        <f>151696*(1.01^10)</f>
        <v>167566.75793637813</v>
      </c>
      <c r="J5870" t="s">
        <v>17882</v>
      </c>
      <c r="K5870">
        <f t="shared" si="91"/>
        <v>1126.3605765305808</v>
      </c>
    </row>
    <row r="5871" spans="1:11" x14ac:dyDescent="0.2">
      <c r="A5871" t="s">
        <v>97</v>
      </c>
      <c r="B5871" t="s">
        <v>2838</v>
      </c>
      <c r="C5871" t="s">
        <v>17883</v>
      </c>
      <c r="D5871" t="s">
        <v>17884</v>
      </c>
      <c r="E5871" t="s">
        <v>425</v>
      </c>
      <c r="F5871" t="s">
        <v>11</v>
      </c>
      <c r="G5871" t="s">
        <v>17</v>
      </c>
      <c r="H5871">
        <f>37256*(1.01^10)</f>
        <v>41153.801904319844</v>
      </c>
      <c r="I5871">
        <f>147440*(1.01^10)</f>
        <v>162865.48617062802</v>
      </c>
      <c r="J5871" t="s">
        <v>17885</v>
      </c>
      <c r="K5871">
        <f t="shared" si="91"/>
        <v>657.50660686827575</v>
      </c>
    </row>
    <row r="5872" spans="1:11" x14ac:dyDescent="0.2">
      <c r="A5872" t="s">
        <v>97</v>
      </c>
      <c r="B5872" t="s">
        <v>2838</v>
      </c>
      <c r="C5872" t="s">
        <v>17886</v>
      </c>
      <c r="D5872" t="s">
        <v>17887</v>
      </c>
      <c r="E5872" t="s">
        <v>4</v>
      </c>
      <c r="F5872" t="s">
        <v>24</v>
      </c>
      <c r="G5872" t="s">
        <v>12</v>
      </c>
      <c r="H5872">
        <f>80740*(1.01^10)</f>
        <v>89187.190405700676</v>
      </c>
      <c r="I5872">
        <f>308380*(1.01^10)</f>
        <v>340643.37103430735</v>
      </c>
      <c r="J5872" t="s">
        <v>17888</v>
      </c>
      <c r="K5872">
        <f t="shared" si="91"/>
        <v>620.89560264367117</v>
      </c>
    </row>
    <row r="5873" spans="1:11" x14ac:dyDescent="0.2">
      <c r="A5873" t="s">
        <v>97</v>
      </c>
      <c r="B5873" t="s">
        <v>2838</v>
      </c>
      <c r="C5873" t="s">
        <v>17889</v>
      </c>
      <c r="D5873" t="s">
        <v>17890</v>
      </c>
      <c r="E5873" t="s">
        <v>542</v>
      </c>
      <c r="F5873" t="s">
        <v>11</v>
      </c>
      <c r="G5873" t="s">
        <v>17</v>
      </c>
      <c r="H5873">
        <f>57394*(1.01^10)</f>
        <v>63398.682265850686</v>
      </c>
      <c r="I5873">
        <f>214995*(1.01^10)</f>
        <v>237488.23385278197</v>
      </c>
      <c r="J5873" t="s">
        <v>17891</v>
      </c>
      <c r="K5873">
        <f t="shared" si="91"/>
        <v>421.64408545514618</v>
      </c>
    </row>
    <row r="5874" spans="1:11" x14ac:dyDescent="0.2">
      <c r="A5874" t="s">
        <v>97</v>
      </c>
      <c r="B5874" t="s">
        <v>3418</v>
      </c>
      <c r="C5874" t="s">
        <v>17892</v>
      </c>
      <c r="D5874" t="s">
        <v>17893</v>
      </c>
      <c r="E5874" t="s">
        <v>1106</v>
      </c>
      <c r="F5874" t="s">
        <v>17</v>
      </c>
      <c r="G5874" t="s">
        <v>92</v>
      </c>
      <c r="H5874">
        <f>56999*(1.01^10)</f>
        <v>62962.356526313262</v>
      </c>
      <c r="I5874">
        <f>231151*(1.01^10)</f>
        <v>255334.50891092539</v>
      </c>
      <c r="J5874" t="s">
        <v>17894</v>
      </c>
      <c r="K5874">
        <f t="shared" si="91"/>
        <v>944.24291654016849</v>
      </c>
    </row>
    <row r="5875" spans="1:11" x14ac:dyDescent="0.2">
      <c r="A5875" t="s">
        <v>97</v>
      </c>
      <c r="B5875" t="s">
        <v>3418</v>
      </c>
      <c r="C5875" t="s">
        <v>17895</v>
      </c>
      <c r="D5875" t="s">
        <v>17896</v>
      </c>
      <c r="E5875" t="s">
        <v>977</v>
      </c>
      <c r="F5875" t="s">
        <v>11</v>
      </c>
      <c r="G5875" t="s">
        <v>744</v>
      </c>
      <c r="H5875">
        <f>110486*(1.01^10)</f>
        <v>122045.28014818237</v>
      </c>
      <c r="I5875">
        <f>436592*(1.01^10)</f>
        <v>482269.18297752872</v>
      </c>
      <c r="J5875" t="s">
        <v>17897</v>
      </c>
      <c r="K5875">
        <f t="shared" si="91"/>
        <v>1740.2865484349682</v>
      </c>
    </row>
    <row r="5876" spans="1:11" x14ac:dyDescent="0.2">
      <c r="A5876" t="s">
        <v>97</v>
      </c>
      <c r="B5876" t="s">
        <v>3418</v>
      </c>
      <c r="C5876" t="s">
        <v>17898</v>
      </c>
      <c r="D5876" t="s">
        <v>17899</v>
      </c>
      <c r="E5876" t="s">
        <v>40</v>
      </c>
      <c r="F5876" t="s">
        <v>17</v>
      </c>
      <c r="G5876" t="s">
        <v>92</v>
      </c>
      <c r="H5876">
        <f>68310*(1.01^10)</f>
        <v>75456.737386839392</v>
      </c>
      <c r="I5876">
        <f>273511*(1.01^10)</f>
        <v>302126.30214334402</v>
      </c>
      <c r="J5876" t="s">
        <v>17900</v>
      </c>
      <c r="K5876">
        <f t="shared" si="91"/>
        <v>754.30789691780762</v>
      </c>
    </row>
    <row r="5877" spans="1:11" x14ac:dyDescent="0.2">
      <c r="A5877" t="s">
        <v>97</v>
      </c>
      <c r="B5877" t="s">
        <v>3418</v>
      </c>
      <c r="C5877" t="s">
        <v>17901</v>
      </c>
      <c r="D5877" t="s">
        <v>17902</v>
      </c>
      <c r="E5877" t="s">
        <v>1589</v>
      </c>
      <c r="F5877" t="s">
        <v>17</v>
      </c>
      <c r="G5877" t="s">
        <v>11</v>
      </c>
      <c r="H5877">
        <f>47376*(1.01^10)</f>
        <v>52332.577813481235</v>
      </c>
      <c r="I5877">
        <f>185803*(1.01^10)</f>
        <v>205242.10476777807</v>
      </c>
      <c r="J5877" t="s">
        <v>17903</v>
      </c>
      <c r="K5877">
        <f t="shared" si="91"/>
        <v>767.8637718941892</v>
      </c>
    </row>
    <row r="5878" spans="1:11" x14ac:dyDescent="0.2">
      <c r="A5878" t="s">
        <v>97</v>
      </c>
      <c r="B5878" t="s">
        <v>3418</v>
      </c>
      <c r="C5878" t="s">
        <v>17904</v>
      </c>
      <c r="D5878" t="s">
        <v>17905</v>
      </c>
      <c r="E5878" t="s">
        <v>1101</v>
      </c>
      <c r="F5878" t="s">
        <v>12</v>
      </c>
      <c r="G5878" t="s">
        <v>158</v>
      </c>
      <c r="H5878">
        <f>127334*(1.01^10)</f>
        <v>140655.95371711036</v>
      </c>
      <c r="I5878">
        <f>511865*(1.01^10)</f>
        <v>565417.40422360634</v>
      </c>
      <c r="J5878" t="s">
        <v>17906</v>
      </c>
      <c r="K5878">
        <f t="shared" si="91"/>
        <v>917.14628980330497</v>
      </c>
    </row>
    <row r="5879" spans="1:11" x14ac:dyDescent="0.2">
      <c r="A5879" t="s">
        <v>97</v>
      </c>
      <c r="B5879" t="s">
        <v>3418</v>
      </c>
      <c r="C5879" t="s">
        <v>17907</v>
      </c>
      <c r="D5879" t="s">
        <v>17908</v>
      </c>
      <c r="E5879" t="s">
        <v>839</v>
      </c>
      <c r="F5879" t="s">
        <v>12</v>
      </c>
      <c r="G5879" t="s">
        <v>12</v>
      </c>
      <c r="H5879">
        <f>61409*(1.01^10)</f>
        <v>67833.740099376679</v>
      </c>
      <c r="I5879">
        <f>246871*(1.01^10)</f>
        <v>272699.1687223895</v>
      </c>
      <c r="J5879" t="s">
        <v>17909</v>
      </c>
      <c r="K5879">
        <f t="shared" si="91"/>
        <v>477.74048362876516</v>
      </c>
    </row>
    <row r="5880" spans="1:11" x14ac:dyDescent="0.2">
      <c r="A5880" t="s">
        <v>97</v>
      </c>
      <c r="B5880" t="s">
        <v>3418</v>
      </c>
      <c r="C5880" t="s">
        <v>17910</v>
      </c>
      <c r="D5880" t="s">
        <v>17911</v>
      </c>
      <c r="E5880" t="s">
        <v>2873</v>
      </c>
      <c r="F5880" t="s">
        <v>12</v>
      </c>
      <c r="G5880" t="s">
        <v>11</v>
      </c>
      <c r="H5880">
        <f>100914*(1.01^10)</f>
        <v>111471.83716374631</v>
      </c>
      <c r="I5880">
        <f>396236*(1.01^10)</f>
        <v>437691.0524844341</v>
      </c>
      <c r="J5880" t="s">
        <v>17912</v>
      </c>
      <c r="K5880">
        <f t="shared" si="91"/>
        <v>607.78607273491741</v>
      </c>
    </row>
    <row r="5881" spans="1:11" x14ac:dyDescent="0.2">
      <c r="A5881" t="s">
        <v>97</v>
      </c>
      <c r="B5881" t="s">
        <v>3418</v>
      </c>
      <c r="C5881" t="s">
        <v>17913</v>
      </c>
      <c r="D5881" t="s">
        <v>17914</v>
      </c>
      <c r="E5881" t="s">
        <v>777</v>
      </c>
      <c r="F5881" t="s">
        <v>5</v>
      </c>
      <c r="G5881" t="s">
        <v>17</v>
      </c>
      <c r="H5881">
        <f>32535*(1.01^10)</f>
        <v>35938.880850253547</v>
      </c>
      <c r="I5881">
        <f>123861*(1.01^10)</f>
        <v>136819.60107555724</v>
      </c>
      <c r="J5881" t="s">
        <v>17915</v>
      </c>
      <c r="K5881">
        <f t="shared" si="91"/>
        <v>474.74448686389991</v>
      </c>
    </row>
    <row r="5882" spans="1:11" x14ac:dyDescent="0.2">
      <c r="A5882" t="s">
        <v>97</v>
      </c>
      <c r="B5882" t="s">
        <v>2845</v>
      </c>
      <c r="C5882" t="s">
        <v>17916</v>
      </c>
      <c r="D5882" t="s">
        <v>17917</v>
      </c>
      <c r="E5882" t="s">
        <v>879</v>
      </c>
      <c r="F5882" t="s">
        <v>12</v>
      </c>
      <c r="G5882" t="s">
        <v>11</v>
      </c>
      <c r="H5882">
        <f>50022*(1.01^10)</f>
        <v>55255.407957319287</v>
      </c>
      <c r="I5882">
        <f>219491*(1.01^10)</f>
        <v>242454.61492863073</v>
      </c>
      <c r="J5882" t="s">
        <v>17918</v>
      </c>
      <c r="K5882">
        <f t="shared" si="91"/>
        <v>351.71606233608878</v>
      </c>
    </row>
    <row r="5883" spans="1:11" x14ac:dyDescent="0.2">
      <c r="A5883" t="s">
        <v>97</v>
      </c>
      <c r="B5883" t="s">
        <v>2845</v>
      </c>
      <c r="C5883" t="s">
        <v>17919</v>
      </c>
      <c r="D5883" t="s">
        <v>17920</v>
      </c>
      <c r="E5883" t="s">
        <v>1362</v>
      </c>
      <c r="F5883" t="s">
        <v>17</v>
      </c>
      <c r="G5883" t="s">
        <v>12</v>
      </c>
      <c r="H5883">
        <f>38064*(1.01^10)</f>
        <v>42046.336581652096</v>
      </c>
      <c r="I5883">
        <f>162524*(1.01^10)</f>
        <v>179527.60631033065</v>
      </c>
      <c r="J5883" t="s">
        <v>17921</v>
      </c>
      <c r="K5883">
        <f t="shared" si="91"/>
        <v>281.33171134711495</v>
      </c>
    </row>
    <row r="5884" spans="1:11" x14ac:dyDescent="0.2">
      <c r="A5884" t="s">
        <v>97</v>
      </c>
      <c r="B5884" t="s">
        <v>2845</v>
      </c>
      <c r="C5884" t="s">
        <v>17922</v>
      </c>
      <c r="D5884" t="s">
        <v>17923</v>
      </c>
      <c r="E5884" t="s">
        <v>47</v>
      </c>
      <c r="F5884" t="s">
        <v>24</v>
      </c>
      <c r="G5884" t="s">
        <v>24</v>
      </c>
      <c r="H5884">
        <f>20811*(1.01^10)</f>
        <v>22988.291051932581</v>
      </c>
      <c r="I5884">
        <f>89982*(1.01^10)</f>
        <v>99396.108088751032</v>
      </c>
      <c r="J5884" t="s">
        <v>17924</v>
      </c>
      <c r="K5884">
        <f t="shared" si="91"/>
        <v>299.50477588445546</v>
      </c>
    </row>
    <row r="5885" spans="1:11" x14ac:dyDescent="0.2">
      <c r="A5885" t="s">
        <v>97</v>
      </c>
      <c r="B5885" t="s">
        <v>2845</v>
      </c>
      <c r="C5885" t="s">
        <v>17925</v>
      </c>
      <c r="D5885" t="s">
        <v>17926</v>
      </c>
      <c r="E5885" t="s">
        <v>16</v>
      </c>
      <c r="F5885" t="s">
        <v>12</v>
      </c>
      <c r="G5885" t="s">
        <v>11</v>
      </c>
      <c r="H5885">
        <f>55370*(1.01^10)</f>
        <v>61162.927084018404</v>
      </c>
      <c r="I5885">
        <f>228282*(1.01^10)</f>
        <v>252165.34803312065</v>
      </c>
      <c r="J5885" t="s">
        <v>17927</v>
      </c>
      <c r="K5885">
        <f t="shared" si="91"/>
        <v>777.71514829889873</v>
      </c>
    </row>
    <row r="5886" spans="1:11" x14ac:dyDescent="0.2">
      <c r="A5886" t="s">
        <v>97</v>
      </c>
      <c r="B5886" t="s">
        <v>2845</v>
      </c>
      <c r="C5886" t="s">
        <v>17928</v>
      </c>
      <c r="D5886" t="s">
        <v>17929</v>
      </c>
      <c r="E5886" t="s">
        <v>410</v>
      </c>
      <c r="F5886" t="s">
        <v>12</v>
      </c>
      <c r="G5886" t="s">
        <v>12</v>
      </c>
      <c r="H5886">
        <f>39293*(1.01^10)</f>
        <v>43403.917173782465</v>
      </c>
      <c r="I5886">
        <f>158860*(1.01^10)</f>
        <v>175480.27084282399</v>
      </c>
      <c r="J5886" t="s">
        <v>17930</v>
      </c>
      <c r="K5886">
        <f t="shared" si="91"/>
        <v>311.3327661956759</v>
      </c>
    </row>
    <row r="5887" spans="1:11" x14ac:dyDescent="0.2">
      <c r="A5887" t="s">
        <v>97</v>
      </c>
      <c r="B5887" t="s">
        <v>2845</v>
      </c>
      <c r="C5887" t="s">
        <v>17931</v>
      </c>
      <c r="D5887" t="s">
        <v>17932</v>
      </c>
      <c r="E5887" t="s">
        <v>23</v>
      </c>
      <c r="F5887" t="s">
        <v>24</v>
      </c>
      <c r="G5887" t="s">
        <v>12</v>
      </c>
      <c r="H5887">
        <f>27104*(1.01^10)</f>
        <v>29939.678087145294</v>
      </c>
      <c r="I5887">
        <f>108479*(1.01^10)</f>
        <v>119828.30354248208</v>
      </c>
      <c r="J5887" t="s">
        <v>17933</v>
      </c>
      <c r="K5887">
        <f t="shared" si="91"/>
        <v>359.84012003610792</v>
      </c>
    </row>
    <row r="5888" spans="1:11" x14ac:dyDescent="0.2">
      <c r="A5888" t="s">
        <v>97</v>
      </c>
      <c r="B5888" t="s">
        <v>2845</v>
      </c>
      <c r="C5888" t="s">
        <v>17934</v>
      </c>
      <c r="D5888" t="s">
        <v>17935</v>
      </c>
      <c r="E5888" t="s">
        <v>998</v>
      </c>
      <c r="F5888" t="s">
        <v>17</v>
      </c>
      <c r="G5888" t="s">
        <v>11</v>
      </c>
      <c r="H5888">
        <f>40983*(1.01^10)</f>
        <v>45270.728565727404</v>
      </c>
      <c r="I5888">
        <f>170419*(1.01^10)</f>
        <v>188248.59799045211</v>
      </c>
      <c r="J5888" t="s">
        <v>17936</v>
      </c>
      <c r="K5888">
        <f t="shared" si="91"/>
        <v>492.51512546006001</v>
      </c>
    </row>
    <row r="5889" spans="1:11" x14ac:dyDescent="0.2">
      <c r="A5889" t="s">
        <v>97</v>
      </c>
      <c r="B5889" t="s">
        <v>2845</v>
      </c>
      <c r="C5889" t="s">
        <v>17937</v>
      </c>
      <c r="D5889" t="s">
        <v>17938</v>
      </c>
      <c r="E5889" t="s">
        <v>764</v>
      </c>
      <c r="F5889" t="s">
        <v>12</v>
      </c>
      <c r="G5889" t="s">
        <v>12</v>
      </c>
      <c r="H5889">
        <f>24980*(1.01^10)</f>
        <v>27593.460692771896</v>
      </c>
      <c r="I5889">
        <f>110604*(1.01^10)</f>
        <v>122175.62555898089</v>
      </c>
      <c r="J5889" t="s">
        <v>17939</v>
      </c>
      <c r="K5889">
        <f t="shared" si="91"/>
        <v>454.51411481449259</v>
      </c>
    </row>
    <row r="5890" spans="1:11" x14ac:dyDescent="0.2">
      <c r="A5890" t="s">
        <v>97</v>
      </c>
      <c r="B5890" t="s">
        <v>2845</v>
      </c>
      <c r="C5890" t="s">
        <v>17940</v>
      </c>
      <c r="D5890" t="s">
        <v>17941</v>
      </c>
      <c r="E5890" t="s">
        <v>148</v>
      </c>
      <c r="F5890" t="s">
        <v>11</v>
      </c>
      <c r="G5890" t="s">
        <v>12</v>
      </c>
      <c r="H5890">
        <f>49468*(1.01^10)</f>
        <v>54643.447299841479</v>
      </c>
      <c r="I5890">
        <f>195782*(1.01^10)</f>
        <v>216265.1289572565</v>
      </c>
      <c r="J5890" t="s">
        <v>17942</v>
      </c>
      <c r="K5890">
        <f t="shared" si="91"/>
        <v>487.79467341129384</v>
      </c>
    </row>
    <row r="5891" spans="1:11" x14ac:dyDescent="0.2">
      <c r="A5891" t="s">
        <v>97</v>
      </c>
      <c r="B5891" t="s">
        <v>2845</v>
      </c>
      <c r="C5891" t="s">
        <v>17943</v>
      </c>
      <c r="D5891" t="s">
        <v>17944</v>
      </c>
      <c r="E5891" t="s">
        <v>121</v>
      </c>
      <c r="F5891" t="s">
        <v>17</v>
      </c>
      <c r="G5891" t="s">
        <v>17</v>
      </c>
      <c r="H5891">
        <f>20228*(1.01^10)</f>
        <v>22344.296352817848</v>
      </c>
      <c r="I5891">
        <f>86672*(1.01^10)</f>
        <v>95739.808853639945</v>
      </c>
      <c r="J5891" t="s">
        <v>17945</v>
      </c>
      <c r="K5891">
        <f t="shared" ref="K5891:K5954" si="92">I5891/J5891</f>
        <v>379.77456574064422</v>
      </c>
    </row>
    <row r="5892" spans="1:11" x14ac:dyDescent="0.2">
      <c r="A5892" t="s">
        <v>97</v>
      </c>
      <c r="B5892" t="s">
        <v>2845</v>
      </c>
      <c r="C5892" t="s">
        <v>17946</v>
      </c>
      <c r="D5892" t="s">
        <v>17947</v>
      </c>
      <c r="E5892" t="s">
        <v>1060</v>
      </c>
      <c r="F5892" t="s">
        <v>92</v>
      </c>
      <c r="G5892" t="s">
        <v>24</v>
      </c>
      <c r="H5892">
        <f>21356*(1.01^10)</f>
        <v>23590.310110281687</v>
      </c>
      <c r="I5892">
        <f>87250*(1.01^10)</f>
        <v>96378.280442127609</v>
      </c>
      <c r="J5892" t="s">
        <v>17948</v>
      </c>
      <c r="K5892">
        <f t="shared" si="92"/>
        <v>230.96175959470557</v>
      </c>
    </row>
    <row r="5893" spans="1:11" x14ac:dyDescent="0.2">
      <c r="A5893" t="s">
        <v>97</v>
      </c>
      <c r="B5893" t="s">
        <v>5625</v>
      </c>
      <c r="C5893" t="s">
        <v>17949</v>
      </c>
      <c r="D5893" t="s">
        <v>17622</v>
      </c>
      <c r="E5893" t="s">
        <v>148</v>
      </c>
      <c r="F5893" t="s">
        <v>24</v>
      </c>
      <c r="G5893" t="s">
        <v>11</v>
      </c>
      <c r="H5893">
        <f>68157*(1.01^10)</f>
        <v>75287.730201651488</v>
      </c>
      <c r="I5893">
        <f>275779*(1.01^10)</f>
        <v>304631.58512377663</v>
      </c>
      <c r="J5893" t="s">
        <v>17950</v>
      </c>
      <c r="K5893">
        <f t="shared" si="92"/>
        <v>350.05198790532751</v>
      </c>
    </row>
    <row r="5894" spans="1:11" x14ac:dyDescent="0.2">
      <c r="A5894" t="s">
        <v>97</v>
      </c>
      <c r="B5894" t="s">
        <v>5625</v>
      </c>
      <c r="C5894" t="s">
        <v>17951</v>
      </c>
      <c r="D5894" t="s">
        <v>17952</v>
      </c>
      <c r="E5894" t="s">
        <v>264</v>
      </c>
      <c r="F5894" t="s">
        <v>17</v>
      </c>
      <c r="G5894" t="s">
        <v>6</v>
      </c>
      <c r="H5894">
        <f>76868*(1.01^10)</f>
        <v>84910.093536108485</v>
      </c>
      <c r="I5894">
        <f>300527*(1.01^10)</f>
        <v>331968.77348345314</v>
      </c>
      <c r="J5894" t="s">
        <v>17953</v>
      </c>
      <c r="K5894">
        <f t="shared" si="92"/>
        <v>553.35883932974969</v>
      </c>
    </row>
    <row r="5895" spans="1:11" x14ac:dyDescent="0.2">
      <c r="A5895" t="s">
        <v>97</v>
      </c>
      <c r="B5895" t="s">
        <v>5625</v>
      </c>
      <c r="C5895" t="s">
        <v>17954</v>
      </c>
      <c r="D5895" t="s">
        <v>17955</v>
      </c>
      <c r="E5895" t="s">
        <v>2395</v>
      </c>
      <c r="F5895" t="s">
        <v>12</v>
      </c>
      <c r="G5895" t="s">
        <v>12</v>
      </c>
      <c r="H5895">
        <f>39220*(1.01^10)</f>
        <v>43323.279758627454</v>
      </c>
      <c r="I5895">
        <f>157631*(1.01^10)</f>
        <v>174122.69025069362</v>
      </c>
      <c r="J5895" t="s">
        <v>17956</v>
      </c>
      <c r="K5895">
        <f t="shared" si="92"/>
        <v>285.91174425668601</v>
      </c>
    </row>
    <row r="5896" spans="1:11" x14ac:dyDescent="0.2">
      <c r="A5896" t="s">
        <v>97</v>
      </c>
      <c r="B5896" t="s">
        <v>5625</v>
      </c>
      <c r="C5896" t="s">
        <v>17957</v>
      </c>
      <c r="D5896" t="s">
        <v>17958</v>
      </c>
      <c r="E5896" t="s">
        <v>766</v>
      </c>
      <c r="F5896" t="s">
        <v>11</v>
      </c>
      <c r="G5896" t="s">
        <v>17</v>
      </c>
      <c r="H5896">
        <f>74167*(1.01^10)</f>
        <v>81926.509175372819</v>
      </c>
      <c r="I5896">
        <f>288674*(1.01^10)</f>
        <v>318875.68743095413</v>
      </c>
      <c r="J5896" t="s">
        <v>17959</v>
      </c>
      <c r="K5896">
        <f t="shared" si="92"/>
        <v>287.23043613064249</v>
      </c>
    </row>
    <row r="5897" spans="1:11" x14ac:dyDescent="0.2">
      <c r="A5897" t="s">
        <v>97</v>
      </c>
      <c r="B5897" t="s">
        <v>5625</v>
      </c>
      <c r="C5897" t="s">
        <v>17960</v>
      </c>
      <c r="D5897" t="s">
        <v>17961</v>
      </c>
      <c r="E5897" t="s">
        <v>1195</v>
      </c>
      <c r="F5897" t="s">
        <v>24</v>
      </c>
      <c r="G5897" t="s">
        <v>17</v>
      </c>
      <c r="H5897">
        <f>52131*(1.01^10)</f>
        <v>57585.056019811513</v>
      </c>
      <c r="I5897">
        <f>207223*(1.01^10)</f>
        <v>228903.11069408609</v>
      </c>
      <c r="J5897" t="s">
        <v>17962</v>
      </c>
      <c r="K5897">
        <f t="shared" si="92"/>
        <v>360.52833081773736</v>
      </c>
    </row>
    <row r="5898" spans="1:11" x14ac:dyDescent="0.2">
      <c r="A5898" t="s">
        <v>97</v>
      </c>
      <c r="B5898" t="s">
        <v>5625</v>
      </c>
      <c r="C5898" t="s">
        <v>17963</v>
      </c>
      <c r="D5898" t="s">
        <v>17964</v>
      </c>
      <c r="E5898" t="s">
        <v>91</v>
      </c>
      <c r="F5898" t="s">
        <v>12</v>
      </c>
      <c r="G5898" t="s">
        <v>12</v>
      </c>
      <c r="H5898">
        <f>28395*(1.01^10)</f>
        <v>31365.745251051158</v>
      </c>
      <c r="I5898">
        <f>109267*(1.01^10)</f>
        <v>120698.7457773061</v>
      </c>
      <c r="J5898" t="s">
        <v>17965</v>
      </c>
      <c r="K5898">
        <f t="shared" si="92"/>
        <v>295.29110905504007</v>
      </c>
    </row>
    <row r="5899" spans="1:11" x14ac:dyDescent="0.2">
      <c r="A5899" t="s">
        <v>97</v>
      </c>
      <c r="B5899" t="s">
        <v>2996</v>
      </c>
      <c r="C5899" t="s">
        <v>17966</v>
      </c>
      <c r="D5899" t="s">
        <v>17967</v>
      </c>
      <c r="E5899" t="s">
        <v>1229</v>
      </c>
      <c r="F5899" t="s">
        <v>158</v>
      </c>
      <c r="G5899" t="s">
        <v>17</v>
      </c>
      <c r="H5899">
        <f>74851*(1.01^10)</f>
        <v>82682.070709154083</v>
      </c>
      <c r="I5899">
        <f>291398*(1.01^10)</f>
        <v>321884.67810057424</v>
      </c>
      <c r="J5899" t="s">
        <v>17968</v>
      </c>
      <c r="K5899">
        <f t="shared" si="92"/>
        <v>472.40252986870354</v>
      </c>
    </row>
    <row r="5900" spans="1:11" x14ac:dyDescent="0.2">
      <c r="A5900" t="s">
        <v>97</v>
      </c>
      <c r="B5900" t="s">
        <v>2996</v>
      </c>
      <c r="C5900" t="s">
        <v>17969</v>
      </c>
      <c r="D5900" t="s">
        <v>17970</v>
      </c>
      <c r="E5900" t="s">
        <v>560</v>
      </c>
      <c r="F5900" t="s">
        <v>356</v>
      </c>
      <c r="G5900" t="s">
        <v>458</v>
      </c>
      <c r="H5900">
        <f>125017*(1.01^10)</f>
        <v>138096.54425253259</v>
      </c>
      <c r="I5900">
        <f>494430*(1.01^10)</f>
        <v>546158.31746706192</v>
      </c>
      <c r="J5900" t="s">
        <v>17971</v>
      </c>
      <c r="K5900">
        <f t="shared" si="92"/>
        <v>1396.6027756892272</v>
      </c>
    </row>
    <row r="5901" spans="1:11" x14ac:dyDescent="0.2">
      <c r="A5901" t="s">
        <v>97</v>
      </c>
      <c r="B5901" t="s">
        <v>2996</v>
      </c>
      <c r="C5901" t="s">
        <v>17972</v>
      </c>
      <c r="D5901" t="s">
        <v>17973</v>
      </c>
      <c r="E5901" t="s">
        <v>1545</v>
      </c>
      <c r="F5901" t="s">
        <v>405</v>
      </c>
      <c r="G5901" t="s">
        <v>5</v>
      </c>
      <c r="H5901">
        <f>60844*(1.01^10)</f>
        <v>67209.628598519339</v>
      </c>
      <c r="I5901">
        <f>234533*(1.01^10)</f>
        <v>259070.34093906608</v>
      </c>
      <c r="J5901" t="s">
        <v>17974</v>
      </c>
      <c r="K5901">
        <f t="shared" si="92"/>
        <v>561.93111060235981</v>
      </c>
    </row>
    <row r="5902" spans="1:11" x14ac:dyDescent="0.2">
      <c r="A5902" t="s">
        <v>97</v>
      </c>
      <c r="B5902" t="s">
        <v>2996</v>
      </c>
      <c r="C5902" t="s">
        <v>17975</v>
      </c>
      <c r="D5902" t="s">
        <v>17976</v>
      </c>
      <c r="E5902" t="s">
        <v>1580</v>
      </c>
      <c r="F5902" t="s">
        <v>11</v>
      </c>
      <c r="G5902" t="s">
        <v>12</v>
      </c>
      <c r="H5902">
        <f>53137*(1.01^10)</f>
        <v>58696.305877975188</v>
      </c>
      <c r="I5902">
        <f>195756*(1.01^10)</f>
        <v>216236.40878199579</v>
      </c>
      <c r="J5902" t="s">
        <v>17977</v>
      </c>
      <c r="K5902">
        <f t="shared" si="92"/>
        <v>443.73121667755328</v>
      </c>
    </row>
    <row r="5903" spans="1:11" x14ac:dyDescent="0.2">
      <c r="A5903" t="s">
        <v>97</v>
      </c>
      <c r="B5903" t="s">
        <v>2996</v>
      </c>
      <c r="C5903" t="s">
        <v>17978</v>
      </c>
      <c r="D5903" t="s">
        <v>17979</v>
      </c>
      <c r="E5903" t="s">
        <v>535</v>
      </c>
      <c r="F5903" t="s">
        <v>24</v>
      </c>
      <c r="G5903" t="s">
        <v>11</v>
      </c>
      <c r="H5903">
        <f>54835*(1.01^10)</f>
        <v>60571.954246923415</v>
      </c>
      <c r="I5903">
        <f>200510*(1.01^10)</f>
        <v>221487.78236620067</v>
      </c>
      <c r="J5903" t="s">
        <v>17980</v>
      </c>
      <c r="K5903">
        <f t="shared" si="92"/>
        <v>269.52625078428537</v>
      </c>
    </row>
    <row r="5904" spans="1:11" x14ac:dyDescent="0.2">
      <c r="A5904" t="s">
        <v>97</v>
      </c>
      <c r="B5904" t="s">
        <v>2996</v>
      </c>
      <c r="C5904" t="s">
        <v>17981</v>
      </c>
      <c r="D5904" t="s">
        <v>17982</v>
      </c>
      <c r="E5904" t="s">
        <v>589</v>
      </c>
      <c r="F5904" t="s">
        <v>17</v>
      </c>
      <c r="G5904" t="s">
        <v>12</v>
      </c>
      <c r="H5904">
        <f>62179*(1.01^10)</f>
        <v>68684.299135943307</v>
      </c>
      <c r="I5904">
        <f>229645*(1.01^10)</f>
        <v>253670.94799005613</v>
      </c>
      <c r="J5904" t="s">
        <v>17983</v>
      </c>
      <c r="K5904">
        <f t="shared" si="92"/>
        <v>451.94966750565919</v>
      </c>
    </row>
    <row r="5905" spans="1:11" x14ac:dyDescent="0.2">
      <c r="A5905" t="s">
        <v>97</v>
      </c>
      <c r="B5905" t="s">
        <v>2996</v>
      </c>
      <c r="C5905" t="s">
        <v>17984</v>
      </c>
      <c r="D5905" t="s">
        <v>17985</v>
      </c>
      <c r="E5905" t="s">
        <v>333</v>
      </c>
      <c r="F5905" t="s">
        <v>5</v>
      </c>
      <c r="G5905" t="s">
        <v>274</v>
      </c>
      <c r="H5905">
        <f>364024*(1.01^10)</f>
        <v>402108.96458068839</v>
      </c>
      <c r="I5905">
        <f>1391980*(1.01^10)</f>
        <v>1537611.9061298887</v>
      </c>
      <c r="J5905" t="s">
        <v>17986</v>
      </c>
      <c r="K5905">
        <f t="shared" si="92"/>
        <v>5022.1951905656633</v>
      </c>
    </row>
    <row r="5906" spans="1:11" x14ac:dyDescent="0.2">
      <c r="A5906" t="s">
        <v>97</v>
      </c>
      <c r="B5906" t="s">
        <v>17987</v>
      </c>
      <c r="C5906" t="s">
        <v>17988</v>
      </c>
      <c r="D5906" t="s">
        <v>17989</v>
      </c>
      <c r="E5906" t="s">
        <v>382</v>
      </c>
      <c r="F5906" t="s">
        <v>24</v>
      </c>
      <c r="G5906" t="s">
        <v>5</v>
      </c>
      <c r="H5906">
        <f>49589*(1.01^10)</f>
        <v>54777.106577016231</v>
      </c>
      <c r="I5906">
        <f>180789*(1.01^10)</f>
        <v>199703.5294309663</v>
      </c>
      <c r="J5906" t="s">
        <v>17990</v>
      </c>
      <c r="K5906">
        <f t="shared" si="92"/>
        <v>393.15787816580485</v>
      </c>
    </row>
    <row r="5907" spans="1:11" x14ac:dyDescent="0.2">
      <c r="A5907" t="s">
        <v>97</v>
      </c>
      <c r="B5907" t="s">
        <v>17987</v>
      </c>
      <c r="C5907" t="s">
        <v>17991</v>
      </c>
      <c r="D5907" t="s">
        <v>17992</v>
      </c>
      <c r="E5907" t="s">
        <v>458</v>
      </c>
      <c r="F5907" t="s">
        <v>11</v>
      </c>
      <c r="G5907" t="s">
        <v>158</v>
      </c>
      <c r="H5907">
        <f>57001*(1.01^10)</f>
        <v>62964.565770564084</v>
      </c>
      <c r="I5907">
        <f>217358*(1.01^10)</f>
        <v>240098.45593512864</v>
      </c>
      <c r="J5907" t="s">
        <v>17993</v>
      </c>
      <c r="K5907">
        <f t="shared" si="92"/>
        <v>642.77776456211188</v>
      </c>
    </row>
    <row r="5908" spans="1:11" x14ac:dyDescent="0.2">
      <c r="A5908" t="s">
        <v>97</v>
      </c>
      <c r="B5908" t="s">
        <v>17987</v>
      </c>
      <c r="C5908" t="s">
        <v>17994</v>
      </c>
      <c r="D5908" t="s">
        <v>17995</v>
      </c>
      <c r="E5908" t="s">
        <v>405</v>
      </c>
      <c r="F5908" t="s">
        <v>5</v>
      </c>
      <c r="G5908" t="s">
        <v>11</v>
      </c>
      <c r="H5908">
        <f>54239*(1.01^10)</f>
        <v>59913.599460178331</v>
      </c>
      <c r="I5908">
        <f>199983*(1.01^10)</f>
        <v>220905.64650610895</v>
      </c>
      <c r="J5908" t="s">
        <v>17996</v>
      </c>
      <c r="K5908">
        <f t="shared" si="92"/>
        <v>1080.0772766877587</v>
      </c>
    </row>
    <row r="5909" spans="1:11" x14ac:dyDescent="0.2">
      <c r="A5909" t="s">
        <v>97</v>
      </c>
      <c r="B5909" t="s">
        <v>17987</v>
      </c>
      <c r="C5909" t="s">
        <v>17997</v>
      </c>
      <c r="D5909" t="s">
        <v>17998</v>
      </c>
      <c r="E5909" t="s">
        <v>61</v>
      </c>
      <c r="F5909" t="s">
        <v>744</v>
      </c>
      <c r="G5909" t="s">
        <v>318</v>
      </c>
      <c r="H5909">
        <f>118381*(1.01^10)</f>
        <v>130766.27182830383</v>
      </c>
      <c r="I5909">
        <f>435069*(1.01^10)</f>
        <v>480586.84348052746</v>
      </c>
      <c r="J5909" t="s">
        <v>17999</v>
      </c>
      <c r="K5909">
        <f t="shared" si="92"/>
        <v>578.07198952674059</v>
      </c>
    </row>
    <row r="5910" spans="1:11" x14ac:dyDescent="0.2">
      <c r="A5910" t="s">
        <v>97</v>
      </c>
      <c r="B5910" t="s">
        <v>17987</v>
      </c>
      <c r="C5910" t="s">
        <v>18000</v>
      </c>
      <c r="D5910" t="s">
        <v>18001</v>
      </c>
      <c r="E5910" t="s">
        <v>796</v>
      </c>
      <c r="F5910" t="s">
        <v>17</v>
      </c>
      <c r="G5910" t="s">
        <v>12</v>
      </c>
      <c r="H5910">
        <f>58902*(1.01^10)</f>
        <v>65064.452430970785</v>
      </c>
      <c r="I5910">
        <f>212700*(1.01^10)</f>
        <v>234953.12607496325</v>
      </c>
      <c r="J5910" t="s">
        <v>18002</v>
      </c>
      <c r="K5910">
        <f t="shared" si="92"/>
        <v>247.15493751282614</v>
      </c>
    </row>
    <row r="5911" spans="1:11" x14ac:dyDescent="0.2">
      <c r="A5911" t="s">
        <v>97</v>
      </c>
      <c r="B5911" t="s">
        <v>4987</v>
      </c>
      <c r="C5911" t="s">
        <v>18003</v>
      </c>
      <c r="D5911" t="s">
        <v>18004</v>
      </c>
      <c r="E5911" t="s">
        <v>97</v>
      </c>
      <c r="F5911" t="s">
        <v>92</v>
      </c>
      <c r="G5911" t="s">
        <v>158</v>
      </c>
      <c r="H5911">
        <f>100543*(1.01^10)</f>
        <v>111062.02235521875</v>
      </c>
      <c r="I5911">
        <f>347668*(1.01^10)</f>
        <v>384041.76509746275</v>
      </c>
      <c r="J5911" t="s">
        <v>18005</v>
      </c>
      <c r="K5911">
        <f t="shared" si="92"/>
        <v>824.43285084651018</v>
      </c>
    </row>
    <row r="5912" spans="1:11" x14ac:dyDescent="0.2">
      <c r="A5912" t="s">
        <v>97</v>
      </c>
      <c r="B5912" t="s">
        <v>4987</v>
      </c>
      <c r="C5912" t="s">
        <v>18006</v>
      </c>
      <c r="D5912" t="s">
        <v>18007</v>
      </c>
      <c r="E5912" t="s">
        <v>764</v>
      </c>
      <c r="F5912" t="s">
        <v>744</v>
      </c>
      <c r="G5912" t="s">
        <v>6</v>
      </c>
      <c r="H5912">
        <f>82678*(1.01^10)</f>
        <v>91327.948084747579</v>
      </c>
      <c r="I5912">
        <f>293209*(1.01^10)</f>
        <v>323885.14876969391</v>
      </c>
      <c r="J5912" t="s">
        <v>18008</v>
      </c>
      <c r="K5912">
        <f t="shared" si="92"/>
        <v>473.85654836736262</v>
      </c>
    </row>
    <row r="5913" spans="1:11" x14ac:dyDescent="0.2">
      <c r="A5913" t="s">
        <v>97</v>
      </c>
      <c r="B5913" t="s">
        <v>4987</v>
      </c>
      <c r="C5913" t="s">
        <v>18009</v>
      </c>
      <c r="D5913" t="s">
        <v>18010</v>
      </c>
      <c r="E5913" t="s">
        <v>185</v>
      </c>
      <c r="F5913" t="s">
        <v>12</v>
      </c>
      <c r="G5913" t="s">
        <v>405</v>
      </c>
      <c r="H5913">
        <f>117312*(1.01^10)</f>
        <v>129585.43077623926</v>
      </c>
      <c r="I5913">
        <f>426753*(1.01^10)</f>
        <v>471400.80588560784</v>
      </c>
      <c r="J5913" t="s">
        <v>18011</v>
      </c>
      <c r="K5913">
        <f t="shared" si="92"/>
        <v>813.8143150429521</v>
      </c>
    </row>
    <row r="5914" spans="1:11" x14ac:dyDescent="0.2">
      <c r="A5914" t="s">
        <v>97</v>
      </c>
      <c r="B5914" t="s">
        <v>4987</v>
      </c>
      <c r="C5914" t="s">
        <v>18012</v>
      </c>
      <c r="D5914" t="s">
        <v>18013</v>
      </c>
      <c r="E5914" t="s">
        <v>789</v>
      </c>
      <c r="F5914" t="s">
        <v>17</v>
      </c>
      <c r="G5914" t="s">
        <v>152</v>
      </c>
      <c r="H5914">
        <f>68688*(1.01^10)</f>
        <v>75874.284550244833</v>
      </c>
      <c r="I5914">
        <f>251097*(1.01^10)</f>
        <v>277367.30182437727</v>
      </c>
      <c r="J5914" t="s">
        <v>18014</v>
      </c>
      <c r="K5914">
        <f t="shared" si="92"/>
        <v>634.3416204596133</v>
      </c>
    </row>
    <row r="5915" spans="1:11" x14ac:dyDescent="0.2">
      <c r="A5915" t="s">
        <v>97</v>
      </c>
      <c r="B5915" t="s">
        <v>4987</v>
      </c>
      <c r="C5915" t="s">
        <v>18015</v>
      </c>
      <c r="D5915" t="s">
        <v>18016</v>
      </c>
      <c r="E5915" t="s">
        <v>542</v>
      </c>
      <c r="F5915" t="s">
        <v>313</v>
      </c>
      <c r="G5915" t="s">
        <v>17</v>
      </c>
      <c r="H5915">
        <f>28032*(1.01^10)</f>
        <v>30964.767419526892</v>
      </c>
      <c r="I5915">
        <f>105428*(1.01^10)</f>
        <v>116458.1014378525</v>
      </c>
      <c r="J5915" t="s">
        <v>18017</v>
      </c>
      <c r="K5915">
        <f t="shared" si="92"/>
        <v>292.91595116924253</v>
      </c>
    </row>
    <row r="5916" spans="1:11" x14ac:dyDescent="0.2">
      <c r="A5916" t="s">
        <v>97</v>
      </c>
      <c r="B5916" t="s">
        <v>4987</v>
      </c>
      <c r="C5916" t="s">
        <v>18018</v>
      </c>
      <c r="D5916" t="s">
        <v>18019</v>
      </c>
      <c r="E5916" t="s">
        <v>626</v>
      </c>
      <c r="F5916" t="s">
        <v>185</v>
      </c>
      <c r="G5916" t="s">
        <v>24</v>
      </c>
      <c r="H5916">
        <f>25806*(1.01^10)</f>
        <v>28505.87856836155</v>
      </c>
      <c r="I5916">
        <f>103290*(1.01^10)</f>
        <v>114096.41933372334</v>
      </c>
      <c r="J5916" t="s">
        <v>18020</v>
      </c>
      <c r="K5916">
        <f t="shared" si="92"/>
        <v>206.99896475629495</v>
      </c>
    </row>
    <row r="5917" spans="1:11" x14ac:dyDescent="0.2">
      <c r="A5917" t="s">
        <v>97</v>
      </c>
      <c r="B5917" t="s">
        <v>4987</v>
      </c>
      <c r="C5917" t="s">
        <v>18021</v>
      </c>
      <c r="D5917" t="s">
        <v>18022</v>
      </c>
      <c r="E5917" t="s">
        <v>121</v>
      </c>
      <c r="F5917" t="s">
        <v>6</v>
      </c>
      <c r="G5917" t="s">
        <v>92</v>
      </c>
      <c r="H5917">
        <f>66798*(1.01^10)</f>
        <v>73786.548733217656</v>
      </c>
      <c r="I5917">
        <f>246236*(1.01^10)</f>
        <v>271997.73367275338</v>
      </c>
      <c r="J5917" t="s">
        <v>18023</v>
      </c>
      <c r="K5917">
        <f t="shared" si="92"/>
        <v>429.06370107750786</v>
      </c>
    </row>
    <row r="5918" spans="1:11" x14ac:dyDescent="0.2">
      <c r="A5918" t="s">
        <v>97</v>
      </c>
      <c r="B5918" t="s">
        <v>4987</v>
      </c>
      <c r="C5918" t="s">
        <v>18024</v>
      </c>
      <c r="D5918" t="s">
        <v>18025</v>
      </c>
      <c r="E5918" t="s">
        <v>837</v>
      </c>
      <c r="F5918" t="s">
        <v>11</v>
      </c>
      <c r="G5918" t="s">
        <v>158</v>
      </c>
      <c r="H5918">
        <f>47891*(1.01^10)</f>
        <v>52901.458208068005</v>
      </c>
      <c r="I5918">
        <f>168607*(1.01^10)</f>
        <v>186247.02269920701</v>
      </c>
      <c r="J5918" t="s">
        <v>18026</v>
      </c>
      <c r="K5918">
        <f t="shared" si="92"/>
        <v>378.20140450640093</v>
      </c>
    </row>
    <row r="5919" spans="1:11" x14ac:dyDescent="0.2">
      <c r="A5919" t="s">
        <v>97</v>
      </c>
      <c r="B5919" t="s">
        <v>3511</v>
      </c>
      <c r="C5919" t="s">
        <v>18027</v>
      </c>
      <c r="D5919" t="s">
        <v>18028</v>
      </c>
      <c r="E5919" t="s">
        <v>287</v>
      </c>
      <c r="F5919" t="s">
        <v>17</v>
      </c>
      <c r="G5919" t="s">
        <v>11</v>
      </c>
      <c r="H5919">
        <f>50212*(1.01^10)</f>
        <v>55465.286161147415</v>
      </c>
      <c r="I5919">
        <f>212029*(1.01^10)</f>
        <v>234211.92462881232</v>
      </c>
      <c r="J5919" t="s">
        <v>18029</v>
      </c>
      <c r="K5919">
        <f t="shared" si="92"/>
        <v>282.93294305608049</v>
      </c>
    </row>
    <row r="5920" spans="1:11" x14ac:dyDescent="0.2">
      <c r="A5920" t="s">
        <v>97</v>
      </c>
      <c r="B5920" t="s">
        <v>3511</v>
      </c>
      <c r="C5920" t="s">
        <v>18030</v>
      </c>
      <c r="D5920" t="s">
        <v>18031</v>
      </c>
      <c r="E5920" t="s">
        <v>589</v>
      </c>
      <c r="F5920" t="s">
        <v>24</v>
      </c>
      <c r="G5920" t="s">
        <v>17</v>
      </c>
      <c r="H5920">
        <f>66337*(1.01^10)</f>
        <v>73277.317933403086</v>
      </c>
      <c r="I5920">
        <f>265142*(1.01^10)</f>
        <v>292881.71957577765</v>
      </c>
      <c r="J5920" t="s">
        <v>18032</v>
      </c>
      <c r="K5920">
        <f t="shared" si="92"/>
        <v>391.58980803437572</v>
      </c>
    </row>
    <row r="5921" spans="1:11" x14ac:dyDescent="0.2">
      <c r="A5921" t="s">
        <v>97</v>
      </c>
      <c r="B5921" t="s">
        <v>3511</v>
      </c>
      <c r="C5921" t="s">
        <v>18033</v>
      </c>
      <c r="D5921" t="s">
        <v>18034</v>
      </c>
      <c r="E5921" t="s">
        <v>176</v>
      </c>
      <c r="F5921" t="s">
        <v>11</v>
      </c>
      <c r="G5921" t="s">
        <v>12</v>
      </c>
      <c r="H5921">
        <f>28974*(1.01^10)</f>
        <v>32005.321461664247</v>
      </c>
      <c r="I5921">
        <f>113432*(1.01^10)</f>
        <v>125299.49692964378</v>
      </c>
      <c r="J5921" t="s">
        <v>18035</v>
      </c>
      <c r="K5921">
        <f t="shared" si="92"/>
        <v>255.9089474373136</v>
      </c>
    </row>
    <row r="5922" spans="1:11" x14ac:dyDescent="0.2">
      <c r="A5922" t="s">
        <v>97</v>
      </c>
      <c r="B5922" t="s">
        <v>3511</v>
      </c>
      <c r="C5922" t="s">
        <v>18036</v>
      </c>
      <c r="D5922" t="s">
        <v>18037</v>
      </c>
      <c r="E5922" t="s">
        <v>23</v>
      </c>
      <c r="F5922" t="s">
        <v>24</v>
      </c>
      <c r="G5922" t="s">
        <v>17</v>
      </c>
      <c r="H5922">
        <f>32847*(1.01^10)</f>
        <v>36283.522953381842</v>
      </c>
      <c r="I5922">
        <f>135658*(1.01^10)</f>
        <v>149850.8282890332</v>
      </c>
      <c r="J5922" t="s">
        <v>18038</v>
      </c>
      <c r="K5922">
        <f t="shared" si="92"/>
        <v>263.77427335003352</v>
      </c>
    </row>
    <row r="5923" spans="1:11" x14ac:dyDescent="0.2">
      <c r="A5923" t="s">
        <v>97</v>
      </c>
      <c r="B5923" t="s">
        <v>3511</v>
      </c>
      <c r="C5923" t="s">
        <v>18039</v>
      </c>
      <c r="D5923" t="s">
        <v>18040</v>
      </c>
      <c r="E5923" t="s">
        <v>829</v>
      </c>
      <c r="F5923" t="s">
        <v>5</v>
      </c>
      <c r="G5923" t="s">
        <v>12</v>
      </c>
      <c r="H5923">
        <f>34065*(1.01^10)</f>
        <v>37628.952702132687</v>
      </c>
      <c r="I5923">
        <f>145277*(1.01^10)</f>
        <v>160476.1885133636</v>
      </c>
      <c r="J5923" t="s">
        <v>18041</v>
      </c>
      <c r="K5923">
        <f t="shared" si="92"/>
        <v>261.50110932372519</v>
      </c>
    </row>
    <row r="5924" spans="1:11" x14ac:dyDescent="0.2">
      <c r="A5924" t="s">
        <v>97</v>
      </c>
      <c r="B5924" t="s">
        <v>3511</v>
      </c>
      <c r="C5924" t="s">
        <v>18042</v>
      </c>
      <c r="D5924" t="s">
        <v>18043</v>
      </c>
      <c r="E5924" t="s">
        <v>232</v>
      </c>
      <c r="F5924" t="s">
        <v>12</v>
      </c>
      <c r="G5924" t="s">
        <v>6</v>
      </c>
      <c r="H5924">
        <f>92369*(1.01^10)</f>
        <v>102032.84110210757</v>
      </c>
      <c r="I5924">
        <f>399232*(1.01^10)</f>
        <v>441000.50037216611</v>
      </c>
      <c r="J5924" t="s">
        <v>18044</v>
      </c>
      <c r="K5924">
        <f t="shared" si="92"/>
        <v>576.83348502101273</v>
      </c>
    </row>
    <row r="5925" spans="1:11" x14ac:dyDescent="0.2">
      <c r="A5925" t="s">
        <v>97</v>
      </c>
      <c r="B5925" t="s">
        <v>3511</v>
      </c>
      <c r="C5925" t="s">
        <v>18045</v>
      </c>
      <c r="D5925" t="s">
        <v>18046</v>
      </c>
      <c r="E5925" t="s">
        <v>12</v>
      </c>
      <c r="F5925" t="s">
        <v>24</v>
      </c>
      <c r="G5925" t="s">
        <v>12</v>
      </c>
      <c r="H5925">
        <f>19101*(1.01^10)</f>
        <v>21099.387217479423</v>
      </c>
      <c r="I5925">
        <f>82675*(1.01^10)</f>
        <v>91324.634218371357</v>
      </c>
      <c r="J5925" t="s">
        <v>18047</v>
      </c>
      <c r="K5925">
        <f t="shared" si="92"/>
        <v>988.90714129691776</v>
      </c>
    </row>
    <row r="5926" spans="1:11" x14ac:dyDescent="0.2">
      <c r="A5926" t="s">
        <v>97</v>
      </c>
      <c r="B5926" t="s">
        <v>18048</v>
      </c>
      <c r="C5926" t="s">
        <v>18049</v>
      </c>
      <c r="D5926" t="s">
        <v>18050</v>
      </c>
      <c r="E5926" t="s">
        <v>777</v>
      </c>
      <c r="F5926" t="s">
        <v>12</v>
      </c>
      <c r="G5926" t="s">
        <v>744</v>
      </c>
      <c r="H5926">
        <f>89004*(1.01^10)</f>
        <v>98315.787650098864</v>
      </c>
      <c r="I5926">
        <f>321323*(1.01^10)</f>
        <v>354940.49520350457</v>
      </c>
      <c r="J5926" t="s">
        <v>18051</v>
      </c>
      <c r="K5926">
        <f t="shared" si="92"/>
        <v>431.08113023914331</v>
      </c>
    </row>
    <row r="5927" spans="1:11" x14ac:dyDescent="0.2">
      <c r="A5927" t="s">
        <v>97</v>
      </c>
      <c r="B5927" t="s">
        <v>18048</v>
      </c>
      <c r="C5927" t="s">
        <v>18052</v>
      </c>
      <c r="D5927" t="s">
        <v>18053</v>
      </c>
      <c r="E5927" t="s">
        <v>3122</v>
      </c>
      <c r="F5927" t="s">
        <v>24</v>
      </c>
      <c r="G5927" t="s">
        <v>12</v>
      </c>
      <c r="H5927">
        <f>22161*(1.01^10)</f>
        <v>24479.530921237707</v>
      </c>
      <c r="I5927">
        <f>74991*(1.01^10)</f>
        <v>82836.717806711662</v>
      </c>
      <c r="J5927" t="s">
        <v>18054</v>
      </c>
      <c r="K5927">
        <f t="shared" si="92"/>
        <v>167.1881679456701</v>
      </c>
    </row>
    <row r="5928" spans="1:11" x14ac:dyDescent="0.2">
      <c r="A5928" t="s">
        <v>97</v>
      </c>
      <c r="B5928" t="s">
        <v>18048</v>
      </c>
      <c r="C5928" t="s">
        <v>18055</v>
      </c>
      <c r="D5928" t="s">
        <v>18056</v>
      </c>
      <c r="E5928" t="s">
        <v>1101</v>
      </c>
      <c r="F5928" t="s">
        <v>11</v>
      </c>
      <c r="G5928" t="s">
        <v>17</v>
      </c>
      <c r="H5928">
        <f>38335*(1.01^10)</f>
        <v>42345.689177638531</v>
      </c>
      <c r="I5928">
        <f>139581*(1.01^10)</f>
        <v>154184.26088702137</v>
      </c>
      <c r="J5928" t="s">
        <v>18057</v>
      </c>
      <c r="K5928">
        <f t="shared" si="92"/>
        <v>178.1956932231416</v>
      </c>
    </row>
    <row r="5929" spans="1:11" x14ac:dyDescent="0.2">
      <c r="A5929" t="s">
        <v>97</v>
      </c>
      <c r="B5929" t="s">
        <v>18048</v>
      </c>
      <c r="C5929" t="s">
        <v>18058</v>
      </c>
      <c r="D5929" t="s">
        <v>18059</v>
      </c>
      <c r="E5929" t="s">
        <v>1545</v>
      </c>
      <c r="F5929" t="s">
        <v>24</v>
      </c>
      <c r="G5929" t="s">
        <v>12</v>
      </c>
      <c r="H5929">
        <f>32955*(1.01^10)</f>
        <v>36402.822142926256</v>
      </c>
      <c r="I5929">
        <f>123356*(1.01^10)</f>
        <v>136261.76690222457</v>
      </c>
      <c r="J5929" t="s">
        <v>18060</v>
      </c>
      <c r="K5929">
        <f t="shared" si="92"/>
        <v>181.81251833895305</v>
      </c>
    </row>
    <row r="5930" spans="1:11" x14ac:dyDescent="0.2">
      <c r="A5930" t="s">
        <v>97</v>
      </c>
      <c r="B5930" t="s">
        <v>18048</v>
      </c>
      <c r="C5930" t="s">
        <v>18061</v>
      </c>
      <c r="D5930" t="s">
        <v>18062</v>
      </c>
      <c r="E5930" t="s">
        <v>726</v>
      </c>
      <c r="F5930" t="s">
        <v>12</v>
      </c>
      <c r="G5930" t="s">
        <v>6</v>
      </c>
      <c r="H5930">
        <f>122574*(1.01^10)</f>
        <v>135397.95240015301</v>
      </c>
      <c r="I5930">
        <f>478328*(1.01^10)</f>
        <v>528371.69200369075</v>
      </c>
      <c r="J5930" t="s">
        <v>18063</v>
      </c>
      <c r="K5930">
        <f t="shared" si="92"/>
        <v>1459.9975497881633</v>
      </c>
    </row>
    <row r="5931" spans="1:11" x14ac:dyDescent="0.2">
      <c r="A5931" t="s">
        <v>97</v>
      </c>
      <c r="B5931" t="s">
        <v>18048</v>
      </c>
      <c r="C5931" t="s">
        <v>18064</v>
      </c>
      <c r="D5931" t="s">
        <v>18065</v>
      </c>
      <c r="E5931" t="s">
        <v>137</v>
      </c>
      <c r="F5931" t="s">
        <v>24</v>
      </c>
      <c r="G5931" t="s">
        <v>5</v>
      </c>
      <c r="H5931">
        <f>52689*(1.01^10)</f>
        <v>58201.435165790965</v>
      </c>
      <c r="I5931">
        <f>202962*(1.01^10)</f>
        <v>224196.31581770894</v>
      </c>
      <c r="J5931" t="s">
        <v>18066</v>
      </c>
      <c r="K5931">
        <f t="shared" si="92"/>
        <v>372.86297390915661</v>
      </c>
    </row>
    <row r="5932" spans="1:11" x14ac:dyDescent="0.2">
      <c r="A5932" t="s">
        <v>97</v>
      </c>
      <c r="B5932" t="s">
        <v>18048</v>
      </c>
      <c r="C5932" t="s">
        <v>18067</v>
      </c>
      <c r="D5932" t="s">
        <v>18068</v>
      </c>
      <c r="E5932" t="s">
        <v>333</v>
      </c>
      <c r="F5932" t="s">
        <v>12</v>
      </c>
      <c r="G5932" t="s">
        <v>405</v>
      </c>
      <c r="H5932">
        <f>78321*(1.01^10)</f>
        <v>86515.109484330969</v>
      </c>
      <c r="I5932">
        <f>310945*(1.01^10)</f>
        <v>343476.72678598703</v>
      </c>
      <c r="J5932" t="s">
        <v>18069</v>
      </c>
      <c r="K5932">
        <f t="shared" si="92"/>
        <v>715.14886049546328</v>
      </c>
    </row>
    <row r="5933" spans="1:11" x14ac:dyDescent="0.2">
      <c r="A5933" t="s">
        <v>97</v>
      </c>
      <c r="B5933" t="s">
        <v>18048</v>
      </c>
      <c r="C5933" t="s">
        <v>18070</v>
      </c>
      <c r="D5933" t="s">
        <v>18071</v>
      </c>
      <c r="E5933" t="s">
        <v>726</v>
      </c>
      <c r="F5933" t="s">
        <v>12</v>
      </c>
      <c r="G5933" t="s">
        <v>12</v>
      </c>
      <c r="H5933">
        <f>25971*(1.01^10)</f>
        <v>28688.1412190544</v>
      </c>
      <c r="I5933">
        <f>98690*(1.01^10)</f>
        <v>109015.15755683179</v>
      </c>
      <c r="J5933" t="s">
        <v>18072</v>
      </c>
      <c r="K5933">
        <f t="shared" si="92"/>
        <v>296.25921925251095</v>
      </c>
    </row>
    <row r="5934" spans="1:11" x14ac:dyDescent="0.2">
      <c r="A5934" t="s">
        <v>97</v>
      </c>
      <c r="B5934" t="s">
        <v>3699</v>
      </c>
      <c r="C5934" t="s">
        <v>18073</v>
      </c>
      <c r="D5934" t="s">
        <v>18074</v>
      </c>
      <c r="E5934" t="s">
        <v>356</v>
      </c>
      <c r="F5934" t="s">
        <v>12</v>
      </c>
      <c r="G5934" t="s">
        <v>5</v>
      </c>
      <c r="H5934">
        <f>54421*(1.01^10)</f>
        <v>60114.640687003171</v>
      </c>
      <c r="I5934">
        <f>194156*(1.01^10)</f>
        <v>214469.01338133786</v>
      </c>
      <c r="J5934" t="s">
        <v>18075</v>
      </c>
      <c r="K5934">
        <f t="shared" si="92"/>
        <v>401.85917709966475</v>
      </c>
    </row>
    <row r="5935" spans="1:11" x14ac:dyDescent="0.2">
      <c r="A5935" t="s">
        <v>97</v>
      </c>
      <c r="B5935" t="s">
        <v>3699</v>
      </c>
      <c r="C5935" t="s">
        <v>18076</v>
      </c>
      <c r="D5935" t="s">
        <v>18077</v>
      </c>
      <c r="E5935" t="s">
        <v>1101</v>
      </c>
      <c r="F5935" t="s">
        <v>17</v>
      </c>
      <c r="G5935" t="s">
        <v>17</v>
      </c>
      <c r="H5935">
        <f>95446*(1.01^10)</f>
        <v>105431.76338199785</v>
      </c>
      <c r="I5935">
        <f>350144*(1.01^10)</f>
        <v>386776.80947998085</v>
      </c>
      <c r="J5935" t="s">
        <v>18078</v>
      </c>
      <c r="K5935">
        <f t="shared" si="92"/>
        <v>400.19976957833012</v>
      </c>
    </row>
    <row r="5936" spans="1:11" x14ac:dyDescent="0.2">
      <c r="A5936" t="s">
        <v>97</v>
      </c>
      <c r="B5936" t="s">
        <v>3699</v>
      </c>
      <c r="C5936" t="s">
        <v>18079</v>
      </c>
      <c r="D5936" t="s">
        <v>18080</v>
      </c>
      <c r="E5936" t="s">
        <v>422</v>
      </c>
      <c r="F5936" t="s">
        <v>17</v>
      </c>
      <c r="G5936" t="s">
        <v>12</v>
      </c>
      <c r="H5936">
        <f>33403*(1.01^10)</f>
        <v>36897.692855110472</v>
      </c>
      <c r="I5936">
        <f>123137*(1.01^10)</f>
        <v>136019.85465675953</v>
      </c>
      <c r="J5936" t="s">
        <v>18081</v>
      </c>
      <c r="K5936">
        <f t="shared" si="92"/>
        <v>488.29779146755965</v>
      </c>
    </row>
    <row r="5937" spans="1:11" x14ac:dyDescent="0.2">
      <c r="A5937" t="s">
        <v>97</v>
      </c>
      <c r="B5937" t="s">
        <v>3699</v>
      </c>
      <c r="C5937" t="s">
        <v>18082</v>
      </c>
      <c r="D5937" t="s">
        <v>18083</v>
      </c>
      <c r="E5937" t="s">
        <v>427</v>
      </c>
      <c r="F5937" t="s">
        <v>5</v>
      </c>
      <c r="G5937" t="s">
        <v>152</v>
      </c>
      <c r="H5937">
        <f>103380*(1.01^10)</f>
        <v>114195.83532501035</v>
      </c>
      <c r="I5937">
        <f>399946*(1.01^10)</f>
        <v>441789.2005697097</v>
      </c>
      <c r="J5937" t="s">
        <v>18084</v>
      </c>
      <c r="K5937">
        <f t="shared" si="92"/>
        <v>863.56347483484831</v>
      </c>
    </row>
    <row r="5938" spans="1:11" x14ac:dyDescent="0.2">
      <c r="A5938" t="s">
        <v>97</v>
      </c>
      <c r="B5938" t="s">
        <v>3699</v>
      </c>
      <c r="C5938" t="s">
        <v>18085</v>
      </c>
      <c r="D5938" t="s">
        <v>18086</v>
      </c>
      <c r="E5938" t="s">
        <v>744</v>
      </c>
      <c r="F5938" t="s">
        <v>92</v>
      </c>
      <c r="G5938" t="s">
        <v>158</v>
      </c>
      <c r="H5938">
        <f>37855*(1.01^10)</f>
        <v>41815.470557441156</v>
      </c>
      <c r="I5938">
        <f>141416*(1.01^10)</f>
        <v>156211.24248715094</v>
      </c>
      <c r="J5938" t="s">
        <v>18087</v>
      </c>
      <c r="K5938">
        <f t="shared" si="92"/>
        <v>766.80496498093351</v>
      </c>
    </row>
    <row r="5939" spans="1:11" x14ac:dyDescent="0.2">
      <c r="A5939" t="s">
        <v>97</v>
      </c>
      <c r="B5939" t="s">
        <v>3699</v>
      </c>
      <c r="C5939" t="s">
        <v>18088</v>
      </c>
      <c r="D5939" t="s">
        <v>18089</v>
      </c>
      <c r="E5939" t="s">
        <v>313</v>
      </c>
      <c r="F5939" t="s">
        <v>5</v>
      </c>
      <c r="G5939" t="s">
        <v>11</v>
      </c>
      <c r="H5939">
        <f>47594*(1.01^10)</f>
        <v>52573.385436820878</v>
      </c>
      <c r="I5939">
        <f>176138*(1.01^10)</f>
        <v>194565.93192567877</v>
      </c>
      <c r="J5939" t="s">
        <v>18090</v>
      </c>
      <c r="K5939">
        <f t="shared" si="92"/>
        <v>633.39225145161913</v>
      </c>
    </row>
    <row r="5940" spans="1:11" x14ac:dyDescent="0.2">
      <c r="A5940" t="s">
        <v>97</v>
      </c>
      <c r="B5940" t="s">
        <v>3699</v>
      </c>
      <c r="C5940" t="s">
        <v>18091</v>
      </c>
      <c r="D5940" t="s">
        <v>18092</v>
      </c>
      <c r="E5940" t="s">
        <v>837</v>
      </c>
      <c r="F5940" t="s">
        <v>92</v>
      </c>
      <c r="G5940" t="s">
        <v>11</v>
      </c>
      <c r="H5940">
        <f>166202*(1.01^10)</f>
        <v>183590.40648759305</v>
      </c>
      <c r="I5940">
        <f>642835*(1.01^10)</f>
        <v>710089.76398871175</v>
      </c>
      <c r="J5940" t="s">
        <v>18093</v>
      </c>
      <c r="K5940">
        <f t="shared" si="92"/>
        <v>1246.9226593421513</v>
      </c>
    </row>
    <row r="5941" spans="1:11" x14ac:dyDescent="0.2">
      <c r="A5941" t="s">
        <v>97</v>
      </c>
      <c r="B5941" t="s">
        <v>3699</v>
      </c>
      <c r="C5941" t="s">
        <v>18094</v>
      </c>
      <c r="D5941" t="s">
        <v>18095</v>
      </c>
      <c r="E5941" t="s">
        <v>829</v>
      </c>
      <c r="F5941" t="s">
        <v>12</v>
      </c>
      <c r="G5941" t="s">
        <v>24</v>
      </c>
      <c r="H5941">
        <f>23324*(1.01^10)</f>
        <v>25764.206453090941</v>
      </c>
      <c r="I5941">
        <f>91176*(1.01^10)</f>
        <v>100715.026906492</v>
      </c>
      <c r="J5941" t="s">
        <v>18096</v>
      </c>
      <c r="K5941">
        <f t="shared" si="92"/>
        <v>336.12975900564487</v>
      </c>
    </row>
    <row r="5942" spans="1:11" x14ac:dyDescent="0.2">
      <c r="A5942" t="s">
        <v>97</v>
      </c>
      <c r="B5942" t="s">
        <v>3699</v>
      </c>
      <c r="C5942" t="s">
        <v>18097</v>
      </c>
      <c r="D5942" t="s">
        <v>18098</v>
      </c>
      <c r="E5942" t="s">
        <v>1027</v>
      </c>
      <c r="F5942" t="s">
        <v>152</v>
      </c>
      <c r="G5942" t="s">
        <v>318</v>
      </c>
      <c r="H5942">
        <f>116698*(1.01^10)</f>
        <v>128907.19279123677</v>
      </c>
      <c r="I5942">
        <f>428031*(1.01^10)</f>
        <v>472812.51296188339</v>
      </c>
      <c r="J5942" t="s">
        <v>18099</v>
      </c>
      <c r="K5942">
        <f t="shared" si="92"/>
        <v>400.25550117805409</v>
      </c>
    </row>
    <row r="5943" spans="1:11" x14ac:dyDescent="0.2">
      <c r="A5943" t="s">
        <v>97</v>
      </c>
      <c r="B5943" t="s">
        <v>3699</v>
      </c>
      <c r="C5943" t="s">
        <v>18100</v>
      </c>
      <c r="D5943" t="s">
        <v>18101</v>
      </c>
      <c r="E5943" t="s">
        <v>164</v>
      </c>
      <c r="F5943" t="s">
        <v>17</v>
      </c>
      <c r="G5943" t="s">
        <v>92</v>
      </c>
      <c r="H5943">
        <f>58730*(1.01^10)</f>
        <v>64874.457425400054</v>
      </c>
      <c r="I5943">
        <f>225602*(1.01^10)</f>
        <v>249204.96073701861</v>
      </c>
      <c r="J5943" t="s">
        <v>18102</v>
      </c>
      <c r="K5943">
        <f t="shared" si="92"/>
        <v>258.21743459799728</v>
      </c>
    </row>
    <row r="5944" spans="1:11" x14ac:dyDescent="0.2">
      <c r="A5944" t="s">
        <v>97</v>
      </c>
      <c r="B5944" t="s">
        <v>3699</v>
      </c>
      <c r="C5944" t="s">
        <v>18103</v>
      </c>
      <c r="D5944" t="s">
        <v>18104</v>
      </c>
      <c r="E5944" t="s">
        <v>1506</v>
      </c>
      <c r="F5944" t="s">
        <v>12</v>
      </c>
      <c r="G5944" t="s">
        <v>6</v>
      </c>
      <c r="H5944">
        <f>78475*(1.01^10)</f>
        <v>86685.221291644295</v>
      </c>
      <c r="I5944">
        <f>304652*(1.01^10)</f>
        <v>336525.33975077432</v>
      </c>
      <c r="J5944" t="s">
        <v>18105</v>
      </c>
      <c r="K5944">
        <f t="shared" si="92"/>
        <v>384.01939985681622</v>
      </c>
    </row>
    <row r="5945" spans="1:11" x14ac:dyDescent="0.2">
      <c r="A5945" t="s">
        <v>97</v>
      </c>
      <c r="B5945" t="s">
        <v>1185</v>
      </c>
      <c r="C5945" t="s">
        <v>18106</v>
      </c>
      <c r="D5945" t="s">
        <v>18107</v>
      </c>
      <c r="E5945" t="s">
        <v>152</v>
      </c>
      <c r="F5945" t="s">
        <v>24</v>
      </c>
      <c r="G5945" t="s">
        <v>47</v>
      </c>
      <c r="H5945">
        <f>148746*(1.01^10)</f>
        <v>164308.12266641506</v>
      </c>
      <c r="I5945">
        <f>590567*(1.01^10)</f>
        <v>652353.37473771896</v>
      </c>
      <c r="J5945" t="s">
        <v>18108</v>
      </c>
      <c r="K5945">
        <f t="shared" si="92"/>
        <v>1651.3636027968848</v>
      </c>
    </row>
    <row r="5946" spans="1:11" x14ac:dyDescent="0.2">
      <c r="A5946" t="s">
        <v>97</v>
      </c>
      <c r="B5946" t="s">
        <v>1185</v>
      </c>
      <c r="C5946" t="s">
        <v>18109</v>
      </c>
      <c r="D5946" t="s">
        <v>18110</v>
      </c>
      <c r="E5946" t="s">
        <v>411</v>
      </c>
      <c r="F5946" t="s">
        <v>24</v>
      </c>
      <c r="G5946" t="s">
        <v>103</v>
      </c>
      <c r="H5946">
        <f>154700*(1.01^10)</f>
        <v>170885.04280111336</v>
      </c>
      <c r="I5946">
        <f>606706*(1.01^10)</f>
        <v>670180.87121973035</v>
      </c>
      <c r="J5946" t="s">
        <v>18111</v>
      </c>
      <c r="K5946">
        <f t="shared" si="92"/>
        <v>1058.763788078521</v>
      </c>
    </row>
    <row r="5947" spans="1:11" x14ac:dyDescent="0.2">
      <c r="A5947" t="s">
        <v>97</v>
      </c>
      <c r="B5947" t="s">
        <v>1185</v>
      </c>
      <c r="C5947" t="s">
        <v>18112</v>
      </c>
      <c r="D5947" t="s">
        <v>18113</v>
      </c>
      <c r="E5947" t="s">
        <v>382</v>
      </c>
      <c r="F5947" t="s">
        <v>158</v>
      </c>
      <c r="G5947" t="s">
        <v>158</v>
      </c>
      <c r="H5947">
        <f>33151*(1.01^10)</f>
        <v>36619.328079506849</v>
      </c>
      <c r="I5947">
        <f>120926*(1.01^10)</f>
        <v>133577.53513747535</v>
      </c>
      <c r="J5947" t="s">
        <v>18114</v>
      </c>
      <c r="K5947">
        <f t="shared" si="92"/>
        <v>353.62269991558719</v>
      </c>
    </row>
    <row r="5948" spans="1:11" x14ac:dyDescent="0.2">
      <c r="A5948" t="s">
        <v>97</v>
      </c>
      <c r="B5948" t="s">
        <v>1185</v>
      </c>
      <c r="C5948" t="s">
        <v>18115</v>
      </c>
      <c r="D5948" t="s">
        <v>18116</v>
      </c>
      <c r="E5948" t="s">
        <v>356</v>
      </c>
      <c r="F5948" t="s">
        <v>12</v>
      </c>
      <c r="G5948" t="s">
        <v>1340</v>
      </c>
      <c r="H5948">
        <f>146942*(1.01^10)</f>
        <v>162315.38435217325</v>
      </c>
      <c r="I5948">
        <f>552175*(1.01^10)</f>
        <v>609944.72209893202</v>
      </c>
      <c r="J5948" t="s">
        <v>18117</v>
      </c>
      <c r="K5948">
        <f t="shared" si="92"/>
        <v>2192.1920475216543</v>
      </c>
    </row>
    <row r="5949" spans="1:11" x14ac:dyDescent="0.2">
      <c r="A5949" t="s">
        <v>97</v>
      </c>
      <c r="B5949" t="s">
        <v>4755</v>
      </c>
      <c r="C5949" t="s">
        <v>18118</v>
      </c>
      <c r="D5949" t="s">
        <v>18119</v>
      </c>
      <c r="E5949" t="s">
        <v>172</v>
      </c>
      <c r="F5949" t="s">
        <v>24</v>
      </c>
      <c r="G5949" t="s">
        <v>11</v>
      </c>
      <c r="H5949">
        <f>84641*(1.01^10)</f>
        <v>93496.321316929781</v>
      </c>
      <c r="I5949">
        <f>346489*(1.01^10)</f>
        <v>382739.41561160295</v>
      </c>
      <c r="J5949" t="s">
        <v>18120</v>
      </c>
      <c r="K5949">
        <f t="shared" si="92"/>
        <v>510.22483689800032</v>
      </c>
    </row>
    <row r="5950" spans="1:11" x14ac:dyDescent="0.2">
      <c r="A5950" t="s">
        <v>97</v>
      </c>
      <c r="B5950" t="s">
        <v>4755</v>
      </c>
      <c r="C5950" t="s">
        <v>18121</v>
      </c>
      <c r="D5950" t="s">
        <v>18122</v>
      </c>
      <c r="E5950" t="s">
        <v>310</v>
      </c>
      <c r="F5950" t="s">
        <v>108</v>
      </c>
      <c r="G5950" t="s">
        <v>17</v>
      </c>
      <c r="H5950">
        <f>61776*(1.01^10)</f>
        <v>68239.136419402581</v>
      </c>
      <c r="I5950">
        <f>240908*(1.01^10)</f>
        <v>266112.30698856252</v>
      </c>
      <c r="J5950" t="s">
        <v>18123</v>
      </c>
      <c r="K5950">
        <f t="shared" si="92"/>
        <v>276.39737697438892</v>
      </c>
    </row>
    <row r="5951" spans="1:11" x14ac:dyDescent="0.2">
      <c r="A5951" t="s">
        <v>97</v>
      </c>
      <c r="B5951" t="s">
        <v>4755</v>
      </c>
      <c r="C5951" t="s">
        <v>18124</v>
      </c>
      <c r="D5951" t="s">
        <v>18125</v>
      </c>
      <c r="E5951" t="s">
        <v>1060</v>
      </c>
      <c r="F5951" t="s">
        <v>405</v>
      </c>
      <c r="G5951" t="s">
        <v>11</v>
      </c>
      <c r="H5951">
        <f>62806*(1.01^10)</f>
        <v>69376.89720857612</v>
      </c>
      <c r="I5951">
        <f>243445*(1.01^10)</f>
        <v>268914.73332073074</v>
      </c>
      <c r="J5951" t="s">
        <v>18126</v>
      </c>
      <c r="K5951">
        <f t="shared" si="92"/>
        <v>311.98127241749523</v>
      </c>
    </row>
    <row r="5952" spans="1:11" x14ac:dyDescent="0.2">
      <c r="A5952" t="s">
        <v>97</v>
      </c>
      <c r="B5952" t="s">
        <v>4755</v>
      </c>
      <c r="C5952" t="s">
        <v>18127</v>
      </c>
      <c r="D5952" t="s">
        <v>13810</v>
      </c>
      <c r="E5952" t="s">
        <v>612</v>
      </c>
      <c r="F5952" t="s">
        <v>11</v>
      </c>
      <c r="G5952" t="s">
        <v>11</v>
      </c>
      <c r="H5952">
        <f>109252*(1.01^10)</f>
        <v>120682.17644542494</v>
      </c>
      <c r="I5952">
        <f>441148*(1.01^10)</f>
        <v>487301.84138090216</v>
      </c>
      <c r="J5952" t="s">
        <v>18128</v>
      </c>
      <c r="K5952">
        <f t="shared" si="92"/>
        <v>615.47704157038936</v>
      </c>
    </row>
    <row r="5953" spans="1:11" x14ac:dyDescent="0.2">
      <c r="A5953" t="s">
        <v>97</v>
      </c>
      <c r="B5953" t="s">
        <v>4755</v>
      </c>
      <c r="C5953" t="s">
        <v>18129</v>
      </c>
      <c r="D5953" t="s">
        <v>18130</v>
      </c>
      <c r="E5953" t="s">
        <v>142</v>
      </c>
      <c r="F5953" t="s">
        <v>318</v>
      </c>
      <c r="G5953" t="s">
        <v>17</v>
      </c>
      <c r="H5953">
        <f>57398*(1.01^10)</f>
        <v>63403.10075435233</v>
      </c>
      <c r="I5953">
        <f>234853*(1.01^10)</f>
        <v>259423.82001919768</v>
      </c>
      <c r="J5953" t="s">
        <v>18131</v>
      </c>
      <c r="K5953">
        <f t="shared" si="92"/>
        <v>229.50387710120754</v>
      </c>
    </row>
    <row r="5954" spans="1:11" x14ac:dyDescent="0.2">
      <c r="A5954" t="s">
        <v>97</v>
      </c>
      <c r="B5954" t="s">
        <v>18132</v>
      </c>
      <c r="C5954" t="s">
        <v>18133</v>
      </c>
      <c r="D5954" t="s">
        <v>18134</v>
      </c>
      <c r="E5954" t="s">
        <v>2400</v>
      </c>
      <c r="F5954" t="s">
        <v>318</v>
      </c>
      <c r="G5954" t="s">
        <v>92</v>
      </c>
      <c r="H5954">
        <f>129512*(1.01^10)</f>
        <v>143061.82070625594</v>
      </c>
      <c r="I5954">
        <f>539663*(1.01^10)</f>
        <v>596123.69006578694</v>
      </c>
      <c r="J5954" t="s">
        <v>18135</v>
      </c>
      <c r="K5954">
        <f t="shared" si="92"/>
        <v>622.41136030248845</v>
      </c>
    </row>
    <row r="5955" spans="1:11" x14ac:dyDescent="0.2">
      <c r="A5955" t="s">
        <v>97</v>
      </c>
      <c r="B5955" t="s">
        <v>18132</v>
      </c>
      <c r="C5955" t="s">
        <v>18136</v>
      </c>
      <c r="D5955" t="s">
        <v>16409</v>
      </c>
      <c r="E5955" t="s">
        <v>2777</v>
      </c>
      <c r="F5955" t="s">
        <v>152</v>
      </c>
      <c r="G5955" t="s">
        <v>92</v>
      </c>
      <c r="H5955">
        <f>141113*(1.01^10)</f>
        <v>155876.54198315134</v>
      </c>
      <c r="I5955">
        <f>597071*(1.01^10)</f>
        <v>659537.83704139339</v>
      </c>
      <c r="J5955" t="s">
        <v>18137</v>
      </c>
      <c r="K5955">
        <f t="shared" ref="K5955:K5988" si="93">I5955/J5955</f>
        <v>516.80111320862966</v>
      </c>
    </row>
    <row r="5956" spans="1:11" x14ac:dyDescent="0.2">
      <c r="A5956" t="s">
        <v>97</v>
      </c>
      <c r="B5956" t="s">
        <v>18132</v>
      </c>
      <c r="C5956" t="s">
        <v>18138</v>
      </c>
      <c r="D5956" t="s">
        <v>18139</v>
      </c>
      <c r="E5956" t="s">
        <v>1387</v>
      </c>
      <c r="F5956" t="s">
        <v>220</v>
      </c>
      <c r="G5956" t="s">
        <v>17</v>
      </c>
      <c r="H5956">
        <f>79272*(1.01^10)</f>
        <v>87565.605125597023</v>
      </c>
      <c r="I5956">
        <f>347474*(1.01^10)</f>
        <v>383827.46840513294</v>
      </c>
      <c r="J5956" t="s">
        <v>18140</v>
      </c>
      <c r="K5956">
        <f t="shared" si="93"/>
        <v>192.35044636185856</v>
      </c>
    </row>
    <row r="5957" spans="1:11" x14ac:dyDescent="0.2">
      <c r="A5957" t="s">
        <v>97</v>
      </c>
      <c r="B5957" t="s">
        <v>18132</v>
      </c>
      <c r="C5957" t="s">
        <v>18141</v>
      </c>
      <c r="D5957" t="s">
        <v>18142</v>
      </c>
      <c r="E5957" t="s">
        <v>16</v>
      </c>
      <c r="F5957" t="s">
        <v>12</v>
      </c>
      <c r="G5957" t="s">
        <v>12</v>
      </c>
      <c r="H5957">
        <f>45413*(1.01^10)</f>
        <v>50164.20458129904</v>
      </c>
      <c r="I5957">
        <f>182310*(1.01^10)</f>
        <v>201383.65968371675</v>
      </c>
      <c r="J5957" t="s">
        <v>18143</v>
      </c>
      <c r="K5957">
        <f t="shared" si="93"/>
        <v>544.81477293903072</v>
      </c>
    </row>
    <row r="5958" spans="1:11" x14ac:dyDescent="0.2">
      <c r="A5958" t="s">
        <v>97</v>
      </c>
      <c r="B5958" t="s">
        <v>18132</v>
      </c>
      <c r="C5958" t="s">
        <v>18144</v>
      </c>
      <c r="D5958" t="s">
        <v>18145</v>
      </c>
      <c r="E5958" t="s">
        <v>1227</v>
      </c>
      <c r="F5958" t="s">
        <v>12</v>
      </c>
      <c r="G5958" t="s">
        <v>12</v>
      </c>
      <c r="H5958">
        <f>52743*(1.01^10)</f>
        <v>58261.084760563172</v>
      </c>
      <c r="I5958">
        <f>213291*(1.01^10)</f>
        <v>235605.95775108127</v>
      </c>
      <c r="J5958" t="s">
        <v>18146</v>
      </c>
      <c r="K5958">
        <f t="shared" si="93"/>
        <v>444.58457625653438</v>
      </c>
    </row>
    <row r="5959" spans="1:11" x14ac:dyDescent="0.2">
      <c r="A5959" t="s">
        <v>97</v>
      </c>
      <c r="B5959" t="s">
        <v>2849</v>
      </c>
      <c r="C5959" t="s">
        <v>18147</v>
      </c>
      <c r="D5959" t="s">
        <v>18148</v>
      </c>
      <c r="E5959" t="s">
        <v>796</v>
      </c>
      <c r="F5959" t="s">
        <v>152</v>
      </c>
      <c r="G5959" t="s">
        <v>11</v>
      </c>
      <c r="H5959">
        <f>73189*(1.01^10)</f>
        <v>80846.188736720665</v>
      </c>
      <c r="I5959">
        <f>260172*(1.01^10)</f>
        <v>287391.74761248397</v>
      </c>
      <c r="J5959" t="s">
        <v>18149</v>
      </c>
      <c r="K5959">
        <f t="shared" si="93"/>
        <v>452.44345155512036</v>
      </c>
    </row>
    <row r="5960" spans="1:11" x14ac:dyDescent="0.2">
      <c r="A5960" t="s">
        <v>97</v>
      </c>
      <c r="B5960" t="s">
        <v>2849</v>
      </c>
      <c r="C5960" t="s">
        <v>18150</v>
      </c>
      <c r="D5960" t="s">
        <v>18151</v>
      </c>
      <c r="E5960" t="s">
        <v>1656</v>
      </c>
      <c r="F5960" t="s">
        <v>24</v>
      </c>
      <c r="G5960" t="s">
        <v>458</v>
      </c>
      <c r="H5960">
        <f>93100*(1.01^10)</f>
        <v>102840.31987578316</v>
      </c>
      <c r="I5960">
        <f>321051*(1.01^10)</f>
        <v>354640.03798539267</v>
      </c>
      <c r="J5960" t="s">
        <v>18152</v>
      </c>
      <c r="K5960">
        <f t="shared" si="93"/>
        <v>624.07289744612763</v>
      </c>
    </row>
    <row r="5961" spans="1:11" x14ac:dyDescent="0.2">
      <c r="A5961" t="s">
        <v>97</v>
      </c>
      <c r="B5961" t="s">
        <v>2849</v>
      </c>
      <c r="C5961" t="s">
        <v>18153</v>
      </c>
      <c r="D5961" t="s">
        <v>18154</v>
      </c>
      <c r="E5961" t="s">
        <v>103</v>
      </c>
      <c r="F5961" t="s">
        <v>11</v>
      </c>
      <c r="G5961" t="s">
        <v>356</v>
      </c>
      <c r="H5961">
        <f>176703*(1.01^10)</f>
        <v>195190.04342653611</v>
      </c>
      <c r="I5961">
        <f>637389*(1.01^10)</f>
        <v>704073.99189372233</v>
      </c>
      <c r="J5961" t="s">
        <v>18155</v>
      </c>
      <c r="K5961">
        <f t="shared" si="93"/>
        <v>806.0976771920009</v>
      </c>
    </row>
    <row r="5962" spans="1:11" x14ac:dyDescent="0.2">
      <c r="A5962" t="s">
        <v>97</v>
      </c>
      <c r="B5962" t="s">
        <v>2849</v>
      </c>
      <c r="C5962" t="s">
        <v>18156</v>
      </c>
      <c r="D5962" t="s">
        <v>18157</v>
      </c>
      <c r="E5962" t="s">
        <v>422</v>
      </c>
      <c r="F5962" t="s">
        <v>158</v>
      </c>
      <c r="G5962" t="s">
        <v>356</v>
      </c>
      <c r="H5962">
        <f>430094*(1.01^10)</f>
        <v>475091.3484066067</v>
      </c>
      <c r="I5962">
        <f>1592646*(1.01^10)</f>
        <v>1759272.0095476536</v>
      </c>
      <c r="J5962" t="s">
        <v>18158</v>
      </c>
      <c r="K5962">
        <f t="shared" si="93"/>
        <v>2273.3339662565418</v>
      </c>
    </row>
    <row r="5963" spans="1:11" x14ac:dyDescent="0.2">
      <c r="A5963" t="s">
        <v>97</v>
      </c>
      <c r="B5963" t="s">
        <v>2849</v>
      </c>
      <c r="C5963" t="s">
        <v>18159</v>
      </c>
      <c r="D5963" t="s">
        <v>18160</v>
      </c>
      <c r="E5963" t="s">
        <v>1960</v>
      </c>
      <c r="F5963" t="s">
        <v>12</v>
      </c>
      <c r="G5963" t="s">
        <v>318</v>
      </c>
      <c r="H5963">
        <f>165932*(1.01^10)</f>
        <v>183292.15851373202</v>
      </c>
      <c r="I5963">
        <f>575928*(1.01^10)</f>
        <v>636182.81144382432</v>
      </c>
      <c r="J5963" t="s">
        <v>18161</v>
      </c>
      <c r="K5963">
        <f t="shared" si="93"/>
        <v>540.85987922591528</v>
      </c>
    </row>
    <row r="5964" spans="1:11" x14ac:dyDescent="0.2">
      <c r="A5964" t="s">
        <v>97</v>
      </c>
      <c r="B5964" t="s">
        <v>2849</v>
      </c>
      <c r="C5964" t="s">
        <v>18162</v>
      </c>
      <c r="D5964" t="s">
        <v>18163</v>
      </c>
      <c r="E5964" t="s">
        <v>24</v>
      </c>
      <c r="F5964" t="s">
        <v>24</v>
      </c>
      <c r="G5964" t="s">
        <v>12</v>
      </c>
      <c r="H5964">
        <f>19017*(1.01^10)</f>
        <v>21006.59895894488</v>
      </c>
      <c r="I5964">
        <f>70859*(1.01^10)</f>
        <v>78272.419184512561</v>
      </c>
      <c r="J5964" t="s">
        <v>18164</v>
      </c>
      <c r="K5964">
        <f t="shared" si="93"/>
        <v>111.02797140510572</v>
      </c>
    </row>
    <row r="5965" spans="1:11" x14ac:dyDescent="0.2">
      <c r="A5965" t="s">
        <v>97</v>
      </c>
      <c r="B5965" t="s">
        <v>5355</v>
      </c>
      <c r="C5965" t="s">
        <v>18165</v>
      </c>
      <c r="D5965" t="s">
        <v>18166</v>
      </c>
      <c r="E5965" t="s">
        <v>16</v>
      </c>
      <c r="F5965" t="s">
        <v>24</v>
      </c>
      <c r="G5965" t="s">
        <v>11</v>
      </c>
      <c r="H5965">
        <f>64069*(1.01^10)</f>
        <v>70772.034952970484</v>
      </c>
      <c r="I5965">
        <f>209385*(1.01^10)</f>
        <v>231291.3037292251</v>
      </c>
      <c r="J5965" t="s">
        <v>18167</v>
      </c>
      <c r="K5965">
        <f t="shared" si="93"/>
        <v>274.56151691744117</v>
      </c>
    </row>
    <row r="5966" spans="1:11" x14ac:dyDescent="0.2">
      <c r="A5966" t="s">
        <v>97</v>
      </c>
      <c r="B5966" t="s">
        <v>5355</v>
      </c>
      <c r="C5966" t="s">
        <v>18168</v>
      </c>
      <c r="D5966" t="s">
        <v>18169</v>
      </c>
      <c r="E5966" t="s">
        <v>425</v>
      </c>
      <c r="F5966" t="s">
        <v>24</v>
      </c>
      <c r="G5966" t="s">
        <v>158</v>
      </c>
      <c r="H5966">
        <f>86520*(1.01^10)</f>
        <v>95571.906290577434</v>
      </c>
      <c r="I5966">
        <f>282752*(1.01^10)</f>
        <v>312334.11520426895</v>
      </c>
      <c r="J5966" t="s">
        <v>18170</v>
      </c>
      <c r="K5966">
        <f t="shared" si="93"/>
        <v>230.60549103488233</v>
      </c>
    </row>
    <row r="5967" spans="1:11" x14ac:dyDescent="0.2">
      <c r="A5967" t="s">
        <v>97</v>
      </c>
      <c r="B5967" t="s">
        <v>5355</v>
      </c>
      <c r="C5967" t="s">
        <v>18171</v>
      </c>
      <c r="D5967" t="s">
        <v>18172</v>
      </c>
      <c r="E5967" t="s">
        <v>1054</v>
      </c>
      <c r="F5967" t="s">
        <v>24</v>
      </c>
      <c r="G5967" t="s">
        <v>382</v>
      </c>
      <c r="H5967">
        <f>96346*(1.01^10)</f>
        <v>106425.92329486793</v>
      </c>
      <c r="I5967">
        <f>340899*(1.01^10)</f>
        <v>376564.57793055428</v>
      </c>
      <c r="J5967" t="s">
        <v>18173</v>
      </c>
      <c r="K5967">
        <f t="shared" si="93"/>
        <v>550.65780895302009</v>
      </c>
    </row>
    <row r="5968" spans="1:11" x14ac:dyDescent="0.2">
      <c r="A5968" t="s">
        <v>97</v>
      </c>
      <c r="B5968" t="s">
        <v>5355</v>
      </c>
      <c r="C5968" t="s">
        <v>18174</v>
      </c>
      <c r="D5968" t="s">
        <v>18175</v>
      </c>
      <c r="E5968" t="s">
        <v>405</v>
      </c>
      <c r="F5968" t="s">
        <v>24</v>
      </c>
      <c r="G5968" t="s">
        <v>318</v>
      </c>
      <c r="H5968">
        <f>274341*(1.01^10)</f>
        <v>303043.13850743533</v>
      </c>
      <c r="I5968">
        <f>981247*(1.01^10)</f>
        <v>1083907.1466933684</v>
      </c>
      <c r="J5968" t="s">
        <v>18176</v>
      </c>
      <c r="K5968">
        <f t="shared" si="93"/>
        <v>2912.3501046804899</v>
      </c>
    </row>
    <row r="5969" spans="1:11" x14ac:dyDescent="0.2">
      <c r="A5969" t="s">
        <v>97</v>
      </c>
      <c r="B5969" t="s">
        <v>5355</v>
      </c>
      <c r="C5969" t="s">
        <v>18177</v>
      </c>
      <c r="D5969" t="s">
        <v>18178</v>
      </c>
      <c r="E5969" t="s">
        <v>77</v>
      </c>
      <c r="F5969" t="s">
        <v>24</v>
      </c>
      <c r="G5969" t="s">
        <v>92</v>
      </c>
      <c r="H5969">
        <f>70223*(1.01^10)</f>
        <v>77569.879512751024</v>
      </c>
      <c r="I5969">
        <f>245522*(1.01^10)</f>
        <v>271209.03347520978</v>
      </c>
      <c r="J5969" t="s">
        <v>18179</v>
      </c>
      <c r="K5969">
        <f t="shared" si="93"/>
        <v>539.37106444409278</v>
      </c>
    </row>
    <row r="5970" spans="1:11" x14ac:dyDescent="0.2">
      <c r="A5970" t="s">
        <v>97</v>
      </c>
      <c r="B5970" t="s">
        <v>5355</v>
      </c>
      <c r="C5970" t="s">
        <v>18180</v>
      </c>
      <c r="D5970" t="s">
        <v>18181</v>
      </c>
      <c r="E5970" t="s">
        <v>180</v>
      </c>
      <c r="F5970" t="s">
        <v>24</v>
      </c>
      <c r="G5970" t="s">
        <v>92</v>
      </c>
      <c r="H5970">
        <f>68008*(1.01^10)</f>
        <v>75123.141504965213</v>
      </c>
      <c r="I5970">
        <f>237861*(1.01^10)</f>
        <v>262746.52337243455</v>
      </c>
      <c r="J5970" t="s">
        <v>18182</v>
      </c>
      <c r="K5970">
        <f t="shared" si="93"/>
        <v>291.66345538996529</v>
      </c>
    </row>
    <row r="5971" spans="1:11" x14ac:dyDescent="0.2">
      <c r="A5971" t="s">
        <v>97</v>
      </c>
      <c r="B5971" t="s">
        <v>5355</v>
      </c>
      <c r="C5971" t="s">
        <v>18183</v>
      </c>
      <c r="D5971" t="s">
        <v>18184</v>
      </c>
      <c r="E5971" t="s">
        <v>1506</v>
      </c>
      <c r="F5971" t="s">
        <v>24</v>
      </c>
      <c r="G5971" t="s">
        <v>5</v>
      </c>
      <c r="H5971">
        <f>52703*(1.01^10)</f>
        <v>58216.899875546726</v>
      </c>
      <c r="I5971">
        <f>181386*(1.01^10)</f>
        <v>200362.98883983679</v>
      </c>
      <c r="J5971" t="s">
        <v>18185</v>
      </c>
      <c r="K5971">
        <f t="shared" si="93"/>
        <v>377.69571382932133</v>
      </c>
    </row>
    <row r="5972" spans="1:11" x14ac:dyDescent="0.2">
      <c r="A5972" t="s">
        <v>520</v>
      </c>
      <c r="B5972" t="s">
        <v>1007</v>
      </c>
      <c r="C5972" t="s">
        <v>18186</v>
      </c>
      <c r="D5972" t="s">
        <v>18187</v>
      </c>
      <c r="E5972" t="s">
        <v>24</v>
      </c>
      <c r="F5972" t="s">
        <v>24</v>
      </c>
      <c r="G5972" t="s">
        <v>12</v>
      </c>
      <c r="H5972">
        <f>13812*(1.01^10)</f>
        <v>15257.040796179561</v>
      </c>
      <c r="I5972">
        <f>55626*(1.01^10)</f>
        <v>61445.710348123677</v>
      </c>
      <c r="J5972" t="s">
        <v>1656</v>
      </c>
      <c r="K5972">
        <f t="shared" si="93"/>
        <v>2048.1903449374558</v>
      </c>
    </row>
    <row r="5973" spans="1:11" x14ac:dyDescent="0.2">
      <c r="A5973" t="s">
        <v>520</v>
      </c>
      <c r="B5973" t="s">
        <v>5241</v>
      </c>
      <c r="C5973" t="s">
        <v>18188</v>
      </c>
      <c r="D5973" t="s">
        <v>18189</v>
      </c>
      <c r="E5973" t="s">
        <v>5</v>
      </c>
      <c r="F5973" t="s">
        <v>24</v>
      </c>
      <c r="G5973" t="s">
        <v>11</v>
      </c>
      <c r="H5973">
        <f>78284*(1.01^10)</f>
        <v>86474.238465690752</v>
      </c>
      <c r="I5973">
        <f>316432*(1.01^10)</f>
        <v>349537.78838811832</v>
      </c>
      <c r="J5973" t="s">
        <v>18190</v>
      </c>
      <c r="K5973">
        <f t="shared" si="93"/>
        <v>7962.1364097521264</v>
      </c>
    </row>
    <row r="5974" spans="1:11" x14ac:dyDescent="0.2">
      <c r="A5974" t="s">
        <v>520</v>
      </c>
      <c r="B5974" t="s">
        <v>5241</v>
      </c>
      <c r="C5974" t="s">
        <v>18191</v>
      </c>
      <c r="D5974" t="s">
        <v>18192</v>
      </c>
      <c r="E5974" t="s">
        <v>24</v>
      </c>
      <c r="F5974" t="s">
        <v>24</v>
      </c>
      <c r="G5974" t="s">
        <v>12</v>
      </c>
      <c r="H5974">
        <f>74133*(1.01^10)</f>
        <v>81888.952023108839</v>
      </c>
      <c r="I5974">
        <f>300104*(1.01^10)</f>
        <v>331501.5183244042</v>
      </c>
      <c r="J5974" t="s">
        <v>18193</v>
      </c>
      <c r="K5974">
        <f t="shared" si="93"/>
        <v>9592.0578218866958</v>
      </c>
    </row>
    <row r="5975" spans="1:11" x14ac:dyDescent="0.2">
      <c r="A5975" t="s">
        <v>520</v>
      </c>
      <c r="B5975" t="s">
        <v>5241</v>
      </c>
      <c r="C5975" t="s">
        <v>18194</v>
      </c>
      <c r="D5975" t="s">
        <v>18195</v>
      </c>
      <c r="E5975" t="s">
        <v>72</v>
      </c>
      <c r="F5975" t="s">
        <v>24</v>
      </c>
      <c r="G5975" t="s">
        <v>17</v>
      </c>
      <c r="H5975">
        <f>50384*(1.01^10)</f>
        <v>55655.281166718138</v>
      </c>
      <c r="I5975">
        <f>213278*(1.01^10)</f>
        <v>235591.59766345093</v>
      </c>
      <c r="J5975" t="s">
        <v>18196</v>
      </c>
      <c r="K5975">
        <f t="shared" si="93"/>
        <v>1806.6840311614335</v>
      </c>
    </row>
    <row r="5976" spans="1:11" x14ac:dyDescent="0.2">
      <c r="A5976" t="s">
        <v>520</v>
      </c>
      <c r="B5976" t="s">
        <v>5241</v>
      </c>
      <c r="C5976" t="s">
        <v>18197</v>
      </c>
      <c r="D5976" t="s">
        <v>18198</v>
      </c>
      <c r="E5976" t="s">
        <v>796</v>
      </c>
      <c r="F5976" t="s">
        <v>24</v>
      </c>
      <c r="G5976" t="s">
        <v>24</v>
      </c>
      <c r="H5976">
        <f>28712*(1.01^10)</f>
        <v>31715.910464806511</v>
      </c>
      <c r="I5976">
        <f>120475*(1.01^10)</f>
        <v>133079.35055891488</v>
      </c>
      <c r="J5976" t="s">
        <v>18199</v>
      </c>
      <c r="K5976">
        <f t="shared" si="93"/>
        <v>1563.0649584086784</v>
      </c>
    </row>
    <row r="5977" spans="1:11" x14ac:dyDescent="0.2">
      <c r="A5977" t="s">
        <v>520</v>
      </c>
      <c r="B5977" t="s">
        <v>2834</v>
      </c>
      <c r="C5977" t="s">
        <v>18200</v>
      </c>
      <c r="D5977" t="s">
        <v>18201</v>
      </c>
      <c r="E5977" t="s">
        <v>24</v>
      </c>
      <c r="F5977" t="s">
        <v>24</v>
      </c>
      <c r="G5977" t="s">
        <v>12</v>
      </c>
      <c r="H5977">
        <f>7420*(1.01^10)</f>
        <v>8196.2961705511389</v>
      </c>
      <c r="I5977">
        <f>41816*(1.01^10)</f>
        <v>46190.878796194935</v>
      </c>
      <c r="J5977" t="s">
        <v>744</v>
      </c>
      <c r="K5977">
        <f t="shared" si="93"/>
        <v>5132.3198662438817</v>
      </c>
    </row>
    <row r="5978" spans="1:11" x14ac:dyDescent="0.2">
      <c r="A5978" t="s">
        <v>520</v>
      </c>
      <c r="B5978" t="s">
        <v>1134</v>
      </c>
      <c r="C5978" t="s">
        <v>18202</v>
      </c>
      <c r="D5978" t="s">
        <v>18203</v>
      </c>
      <c r="E5978" t="s">
        <v>382</v>
      </c>
      <c r="F5978" t="s">
        <v>24</v>
      </c>
      <c r="G5978" t="s">
        <v>17</v>
      </c>
      <c r="H5978">
        <f>35631*(1.01^10)</f>
        <v>39358.790950526636</v>
      </c>
      <c r="I5978">
        <f>144200*(1.01^10)</f>
        <v>159286.51048429572</v>
      </c>
      <c r="J5978" t="s">
        <v>18204</v>
      </c>
      <c r="K5978">
        <f t="shared" si="93"/>
        <v>1834.0415714944816</v>
      </c>
    </row>
    <row r="5979" spans="1:11" x14ac:dyDescent="0.2">
      <c r="A5979" t="s">
        <v>520</v>
      </c>
      <c r="B5979" t="s">
        <v>1134</v>
      </c>
      <c r="C5979" t="s">
        <v>18205</v>
      </c>
      <c r="D5979" t="s">
        <v>18206</v>
      </c>
      <c r="E5979" t="s">
        <v>44</v>
      </c>
      <c r="F5979" t="s">
        <v>24</v>
      </c>
      <c r="G5979" t="s">
        <v>24</v>
      </c>
      <c r="H5979">
        <f>14074*(1.01^10)</f>
        <v>15546.451793037295</v>
      </c>
      <c r="I5979">
        <f>56022*(1.01^10)</f>
        <v>61883.140709786516</v>
      </c>
      <c r="J5979" t="s">
        <v>18207</v>
      </c>
      <c r="K5979">
        <f t="shared" si="93"/>
        <v>882.15453613380623</v>
      </c>
    </row>
    <row r="5980" spans="1:11" x14ac:dyDescent="0.2">
      <c r="A5980" t="s">
        <v>1506</v>
      </c>
      <c r="B5980" t="s">
        <v>17260</v>
      </c>
      <c r="C5980" t="s">
        <v>18208</v>
      </c>
      <c r="D5980" t="s">
        <v>18209</v>
      </c>
      <c r="E5980" t="s">
        <v>44</v>
      </c>
      <c r="F5980" t="s">
        <v>24</v>
      </c>
      <c r="G5980" t="s">
        <v>24</v>
      </c>
      <c r="H5980">
        <f>4250*(1.01^10)</f>
        <v>4694.6440329976203</v>
      </c>
      <c r="I5980">
        <f>17841*(1.01^10)</f>
        <v>19707.563339461303</v>
      </c>
      <c r="J5980" t="s">
        <v>18210</v>
      </c>
      <c r="K5980">
        <f t="shared" si="93"/>
        <v>141.07261938442952</v>
      </c>
    </row>
    <row r="5981" spans="1:11" x14ac:dyDescent="0.2">
      <c r="A5981" t="s">
        <v>1506</v>
      </c>
      <c r="B5981" t="s">
        <v>17260</v>
      </c>
      <c r="C5981" t="s">
        <v>18211</v>
      </c>
      <c r="D5981" t="s">
        <v>18212</v>
      </c>
      <c r="E5981" t="s">
        <v>674</v>
      </c>
      <c r="F5981" t="s">
        <v>121</v>
      </c>
      <c r="G5981" t="s">
        <v>24</v>
      </c>
      <c r="H5981">
        <f>2790*(1.01^10)</f>
        <v>3081.8957298972614</v>
      </c>
      <c r="I5981">
        <f>10634*(1.01^10)</f>
        <v>11746.551681622752</v>
      </c>
      <c r="J5981" t="s">
        <v>18213</v>
      </c>
      <c r="K5981">
        <f t="shared" si="93"/>
        <v>23.709975897826034</v>
      </c>
    </row>
    <row r="5982" spans="1:11" x14ac:dyDescent="0.2">
      <c r="A5982" t="s">
        <v>1506</v>
      </c>
      <c r="B5982" t="s">
        <v>17260</v>
      </c>
      <c r="C5982" t="s">
        <v>18214</v>
      </c>
      <c r="D5982" t="s">
        <v>18215</v>
      </c>
      <c r="E5982" t="s">
        <v>1656</v>
      </c>
      <c r="F5982" t="s">
        <v>176</v>
      </c>
      <c r="G5982" t="s">
        <v>24</v>
      </c>
      <c r="H5982">
        <f>2248*(1.01^10)</f>
        <v>2483.1905379243881</v>
      </c>
      <c r="I5982">
        <f>8367*(1.01^10)</f>
        <v>9242.3733233155508</v>
      </c>
      <c r="J5982" t="s">
        <v>18216</v>
      </c>
      <c r="K5982">
        <f t="shared" si="93"/>
        <v>7.664449495165031</v>
      </c>
    </row>
    <row r="5983" spans="1:11" x14ac:dyDescent="0.2">
      <c r="A5983" t="s">
        <v>1506</v>
      </c>
      <c r="B5983" t="s">
        <v>3267</v>
      </c>
      <c r="C5983" t="s">
        <v>18217</v>
      </c>
      <c r="D5983" t="s">
        <v>18218</v>
      </c>
      <c r="E5983" t="s">
        <v>777</v>
      </c>
      <c r="F5983" t="s">
        <v>744</v>
      </c>
      <c r="G5983" t="s">
        <v>24</v>
      </c>
      <c r="H5983">
        <f>10702*(1.01^10)</f>
        <v>11821.665986150712</v>
      </c>
      <c r="I5983">
        <f>43183*(1.01^10)</f>
        <v>47700.897241632054</v>
      </c>
      <c r="J5983" t="s">
        <v>18219</v>
      </c>
      <c r="K5983">
        <f t="shared" si="93"/>
        <v>31.312547024010136</v>
      </c>
    </row>
    <row r="5984" spans="1:11" x14ac:dyDescent="0.2">
      <c r="A5984" t="s">
        <v>1506</v>
      </c>
      <c r="B5984" t="s">
        <v>3267</v>
      </c>
      <c r="C5984" t="s">
        <v>18220</v>
      </c>
      <c r="D5984" t="s">
        <v>18221</v>
      </c>
      <c r="E5984" t="s">
        <v>764</v>
      </c>
      <c r="F5984" t="s">
        <v>11</v>
      </c>
      <c r="G5984" t="s">
        <v>24</v>
      </c>
      <c r="H5984">
        <f>6316*(1.01^10)</f>
        <v>6976.7933440971692</v>
      </c>
      <c r="I5984">
        <f>25788*(1.01^10)</f>
        <v>28485.995370104149</v>
      </c>
      <c r="J5984" t="s">
        <v>18222</v>
      </c>
      <c r="K5984">
        <f t="shared" si="93"/>
        <v>33.222850537781589</v>
      </c>
    </row>
    <row r="5985" spans="1:11" x14ac:dyDescent="0.2">
      <c r="A5985" t="s">
        <v>1506</v>
      </c>
      <c r="B5985" t="s">
        <v>3267</v>
      </c>
      <c r="C5985" t="s">
        <v>18223</v>
      </c>
      <c r="D5985" t="s">
        <v>18224</v>
      </c>
      <c r="E5985" t="s">
        <v>1229</v>
      </c>
      <c r="F5985" t="s">
        <v>411</v>
      </c>
      <c r="G5985" t="s">
        <v>12</v>
      </c>
      <c r="H5985">
        <f>9181*(1.01^10)</f>
        <v>10141.535733400271</v>
      </c>
      <c r="I5985">
        <f>36626*(1.01^10)</f>
        <v>40457.889965310787</v>
      </c>
      <c r="J5985" t="s">
        <v>18225</v>
      </c>
      <c r="K5985">
        <f t="shared" si="93"/>
        <v>29.850558068449629</v>
      </c>
    </row>
    <row r="5986" spans="1:11" x14ac:dyDescent="0.2">
      <c r="A5986" t="s">
        <v>1506</v>
      </c>
      <c r="B5986" t="s">
        <v>5128</v>
      </c>
      <c r="C5986" t="s">
        <v>18226</v>
      </c>
      <c r="D5986" t="s">
        <v>18227</v>
      </c>
      <c r="E5986" t="s">
        <v>425</v>
      </c>
      <c r="F5986" t="s">
        <v>318</v>
      </c>
      <c r="G5986" t="s">
        <v>12</v>
      </c>
      <c r="H5986">
        <f>12498*(1.01^10)</f>
        <v>13805.567323389238</v>
      </c>
      <c r="I5986">
        <f>53565*(1.01^10)</f>
        <v>59169.084147651185</v>
      </c>
      <c r="J5986" t="s">
        <v>18228</v>
      </c>
      <c r="K5986">
        <f t="shared" si="93"/>
        <v>44.034518686289843</v>
      </c>
    </row>
    <row r="5987" spans="1:11" x14ac:dyDescent="0.2">
      <c r="A5987" t="s">
        <v>1506</v>
      </c>
      <c r="B5987" t="s">
        <v>5128</v>
      </c>
      <c r="C5987" t="s">
        <v>18229</v>
      </c>
      <c r="D5987" t="s">
        <v>18230</v>
      </c>
      <c r="E5987" t="s">
        <v>1656</v>
      </c>
      <c r="F5987" t="s">
        <v>11</v>
      </c>
      <c r="G5987" t="s">
        <v>11</v>
      </c>
      <c r="H5987">
        <f>41473*(1.01^10)</f>
        <v>45811.993407178896</v>
      </c>
      <c r="I5987">
        <f>165754*(1.01^10)</f>
        <v>183095.53577540882</v>
      </c>
      <c r="J5987" t="s">
        <v>18231</v>
      </c>
      <c r="K5987">
        <f t="shared" si="93"/>
        <v>333.86522983404251</v>
      </c>
    </row>
    <row r="5988" spans="1:11" x14ac:dyDescent="0.2">
      <c r="A5988" t="s">
        <v>1506</v>
      </c>
      <c r="B5988" t="s">
        <v>5128</v>
      </c>
      <c r="C5988" t="s">
        <v>18232</v>
      </c>
      <c r="D5988" t="s">
        <v>18233</v>
      </c>
      <c r="E5988" t="s">
        <v>44</v>
      </c>
      <c r="F5988" t="s">
        <v>11</v>
      </c>
      <c r="G5988" t="s">
        <v>24</v>
      </c>
      <c r="H5988">
        <f>5093*(1.01^10)</f>
        <v>5625.840484719266</v>
      </c>
      <c r="I5988">
        <f>18823*(1.01^10)</f>
        <v>20792.302266615108</v>
      </c>
      <c r="J5988" t="s">
        <v>18234</v>
      </c>
      <c r="K5988">
        <f t="shared" si="93"/>
        <v>26.651579226897425</v>
      </c>
    </row>
  </sheetData>
  <autoFilter ref="A1:K5988" xr:uid="{00000000-0001-0000-0000-000000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17ACD341EEC84DAD989B5406EB3846" ma:contentTypeVersion="15" ma:contentTypeDescription="Create a new document." ma:contentTypeScope="" ma:versionID="9198844b3137385616210be75bb6c6bc">
  <xsd:schema xmlns:xsd="http://www.w3.org/2001/XMLSchema" xmlns:xs="http://www.w3.org/2001/XMLSchema" xmlns:p="http://schemas.microsoft.com/office/2006/metadata/properties" xmlns:ns2="23475fd4-cd25-427a-a7ba-6db27a56566b" xmlns:ns3="b12f95c1-f6ac-4ffb-b8ed-07de7e59da04" targetNamespace="http://schemas.microsoft.com/office/2006/metadata/properties" ma:root="true" ma:fieldsID="412147355552fc1d4f9ee6341cc8a0bc" ns2:_="" ns3:_="">
    <xsd:import namespace="23475fd4-cd25-427a-a7ba-6db27a56566b"/>
    <xsd:import namespace="b12f95c1-f6ac-4ffb-b8ed-07de7e59da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475fd4-cd25-427a-a7ba-6db27a5656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3097ed6-c415-4860-95c8-1423bb60cb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f95c1-f6ac-4ffb-b8ed-07de7e59da04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1dfa051-25f7-43b0-8d5b-0a57c60e4054}" ma:internalName="TaxCatchAll" ma:showField="CatchAllData" ma:web="b12f95c1-f6ac-4ffb-b8ed-07de7e59da0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2f95c1-f6ac-4ffb-b8ed-07de7e59da04" xsi:nil="true"/>
    <lcf76f155ced4ddcb4097134ff3c332f xmlns="23475fd4-cd25-427a-a7ba-6db27a56566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772C44D-71E9-4D83-B8DF-094C6878D46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53FEBF-0B68-4146-9376-139563A55D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475fd4-cd25-427a-a7ba-6db27a56566b"/>
    <ds:schemaRef ds:uri="b12f95c1-f6ac-4ffb-b8ed-07de7e59da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88B962E-217B-43FD-99F9-166F3CFBA16D}">
  <ds:schemaRefs>
    <ds:schemaRef ds:uri="http://schemas.microsoft.com/office/2006/metadata/properties"/>
    <ds:schemaRef ds:uri="http://schemas.microsoft.com/office/infopath/2007/PartnerControls"/>
    <ds:schemaRef ds:uri="b12f95c1-f6ac-4ffb-b8ed-07de7e59da04"/>
    <ds:schemaRef ds:uri="23475fd4-cd25-427a-a7ba-6db27a56566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Lizaveta Radzevich</cp:lastModifiedBy>
  <cp:revision>0</cp:revision>
  <dcterms:modified xsi:type="dcterms:W3CDTF">2022-06-02T23:05:39Z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0x0101001A17ACD341EEC84DAD989B5406EB3846</vt:lpwstr>
  </property>
</Properties>
</file>