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Artificial Light/DriftGradient2018/Analysis/LightDriftGradient-2020/raw data/"/>
    </mc:Choice>
  </mc:AlternateContent>
  <xr:revisionPtr revIDLastSave="0" documentId="13_ncr:1_{4D535209-74A3-ED48-BA89-C94A9B593946}" xr6:coauthVersionLast="45" xr6:coauthVersionMax="45" xr10:uidLastSave="{00000000-0000-0000-0000-000000000000}"/>
  <bookViews>
    <workbookView xWindow="0" yWindow="460" windowWidth="26840" windowHeight="15540" activeTab="1" xr2:uid="{9F382981-07B4-3846-928F-CBAE16D35BA4}"/>
  </bookViews>
  <sheets>
    <sheet name="Metadata" sheetId="4" r:id="rId1"/>
    <sheet name="MessingAround" sheetId="5" r:id="rId2"/>
    <sheet name="Raw Data" sheetId="1" r:id="rId3"/>
    <sheet name="Baetid Drift" sheetId="3" r:id="rId4"/>
    <sheet name="NightDayRatio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5" l="1"/>
  <c r="F2" i="5"/>
  <c r="F45" i="5"/>
  <c r="F44" i="5"/>
  <c r="F43" i="5"/>
  <c r="F42" i="5"/>
  <c r="F41" i="5"/>
  <c r="D41" i="5"/>
  <c r="F40" i="5"/>
  <c r="D40" i="5"/>
  <c r="F39" i="5"/>
  <c r="D39" i="5"/>
  <c r="F38" i="5"/>
  <c r="D38" i="5"/>
  <c r="AR37" i="5"/>
  <c r="F37" i="5"/>
  <c r="AS37" i="5"/>
  <c r="AR36" i="5"/>
  <c r="F36" i="5"/>
  <c r="AS36" i="5"/>
  <c r="AR35" i="5"/>
  <c r="F35" i="5"/>
  <c r="AS35" i="5"/>
  <c r="AR34" i="5"/>
  <c r="F34" i="5"/>
  <c r="AS34" i="5"/>
  <c r="AR33" i="5"/>
  <c r="F33" i="5"/>
  <c r="AS33" i="5"/>
  <c r="AR32" i="5"/>
  <c r="F32" i="5"/>
  <c r="AS32" i="5"/>
  <c r="AR31" i="5"/>
  <c r="F31" i="5"/>
  <c r="AS31" i="5"/>
  <c r="AR30" i="5"/>
  <c r="F30" i="5"/>
  <c r="AS30" i="5"/>
  <c r="AR29" i="5"/>
  <c r="F29" i="5"/>
  <c r="AS29" i="5"/>
  <c r="AR28" i="5"/>
  <c r="F28" i="5"/>
  <c r="AS28" i="5"/>
  <c r="AR27" i="5"/>
  <c r="F27" i="5"/>
  <c r="AS27" i="5"/>
  <c r="AR26" i="5"/>
  <c r="F26" i="5"/>
  <c r="AS26" i="5"/>
  <c r="AR25" i="5"/>
  <c r="F25" i="5"/>
  <c r="AS25" i="5"/>
  <c r="AR24" i="5"/>
  <c r="F24" i="5"/>
  <c r="AS24" i="5"/>
  <c r="AR23" i="5"/>
  <c r="F23" i="5"/>
  <c r="AS23" i="5"/>
  <c r="AR22" i="5"/>
  <c r="F22" i="5"/>
  <c r="AS22" i="5"/>
  <c r="AR21" i="5"/>
  <c r="F21" i="5"/>
  <c r="AS21" i="5"/>
  <c r="F20" i="5"/>
  <c r="F19" i="5"/>
  <c r="AR18" i="5"/>
  <c r="F18" i="5"/>
  <c r="AS18" i="5"/>
  <c r="AR17" i="5"/>
  <c r="F17" i="5"/>
  <c r="AS17" i="5"/>
  <c r="AR16" i="5"/>
  <c r="F16" i="5"/>
  <c r="AS16" i="5"/>
  <c r="AR15" i="5"/>
  <c r="F15" i="5"/>
  <c r="AS15" i="5"/>
  <c r="F14" i="5"/>
  <c r="AR13" i="5"/>
  <c r="F13" i="5"/>
  <c r="AS13" i="5"/>
  <c r="AR12" i="5"/>
  <c r="F12" i="5"/>
  <c r="AS12" i="5"/>
  <c r="AR11" i="5"/>
  <c r="F11" i="5"/>
  <c r="AS11" i="5"/>
  <c r="F10" i="5"/>
  <c r="AR9" i="5"/>
  <c r="F9" i="5"/>
  <c r="AS9" i="5"/>
  <c r="AR8" i="5"/>
  <c r="F8" i="5"/>
  <c r="AS8" i="5"/>
  <c r="F7" i="5"/>
  <c r="F6" i="5"/>
  <c r="F5" i="5"/>
  <c r="F4" i="5"/>
  <c r="AR3" i="5"/>
  <c r="F3" i="5"/>
  <c r="AS3" i="5"/>
  <c r="AR2" i="5"/>
  <c r="AS2" i="5"/>
  <c r="F5" i="1"/>
  <c r="F4" i="1"/>
  <c r="F21" i="1"/>
  <c r="F20" i="1"/>
  <c r="F43" i="1"/>
  <c r="F42" i="1"/>
  <c r="F45" i="1"/>
  <c r="F44" i="1"/>
  <c r="F17" i="1"/>
  <c r="F16" i="1"/>
  <c r="F41" i="1"/>
  <c r="F40" i="1"/>
  <c r="D41" i="1"/>
  <c r="D40" i="1"/>
  <c r="F37" i="1"/>
  <c r="F36" i="1"/>
  <c r="F33" i="1"/>
  <c r="F32" i="1"/>
  <c r="F9" i="1"/>
  <c r="F8" i="1"/>
  <c r="F25" i="1"/>
  <c r="F24" i="1"/>
  <c r="F29" i="1"/>
  <c r="F28" i="1"/>
  <c r="F13" i="1"/>
  <c r="F12" i="1"/>
  <c r="F19" i="1"/>
  <c r="F18" i="1"/>
  <c r="F3" i="1"/>
  <c r="F2" i="1"/>
  <c r="F15" i="1"/>
  <c r="F14" i="1"/>
  <c r="F39" i="1"/>
  <c r="D39" i="1"/>
  <c r="F38" i="1"/>
  <c r="D38" i="1"/>
  <c r="F35" i="1"/>
  <c r="F34" i="1"/>
  <c r="F30" i="1"/>
  <c r="F31" i="1"/>
  <c r="F23" i="1"/>
  <c r="F22" i="1"/>
  <c r="F7" i="1"/>
  <c r="F6" i="1"/>
  <c r="AR8" i="1"/>
  <c r="AS8" i="1"/>
  <c r="F27" i="1"/>
  <c r="F10" i="1"/>
  <c r="F11" i="1"/>
  <c r="F26" i="1"/>
  <c r="AR32" i="1"/>
  <c r="AR33" i="1"/>
  <c r="AR24" i="1"/>
  <c r="AR25" i="1"/>
  <c r="AR28" i="1"/>
  <c r="AR29" i="1"/>
  <c r="AR16" i="1"/>
  <c r="AR17" i="1"/>
  <c r="AR12" i="1"/>
  <c r="AR13" i="1"/>
  <c r="AR36" i="1"/>
  <c r="AR37" i="1"/>
  <c r="AR34" i="1"/>
  <c r="AR2" i="1"/>
  <c r="AR26" i="1"/>
  <c r="AR30" i="1"/>
  <c r="AR27" i="1"/>
  <c r="AR22" i="1"/>
  <c r="AR31" i="1"/>
  <c r="AR15" i="1"/>
  <c r="AR21" i="1"/>
  <c r="AR11" i="1"/>
  <c r="AR35" i="1"/>
  <c r="AR23" i="1"/>
  <c r="AR3" i="1"/>
  <c r="AR18" i="1"/>
  <c r="AR9" i="1"/>
  <c r="AS9" i="1"/>
  <c r="AS18" i="1"/>
  <c r="AS3" i="1"/>
  <c r="AS23" i="1"/>
  <c r="AS35" i="1"/>
  <c r="AS11" i="1"/>
  <c r="AS21" i="1"/>
  <c r="AS15" i="1"/>
  <c r="AS31" i="1"/>
  <c r="AS22" i="1"/>
  <c r="AS27" i="1"/>
  <c r="AS32" i="1"/>
  <c r="AS33" i="1"/>
  <c r="AS24" i="1"/>
  <c r="AS25" i="1"/>
  <c r="AS28" i="1"/>
  <c r="AS29" i="1"/>
  <c r="AS16" i="1"/>
  <c r="AS17" i="1"/>
  <c r="AS12" i="1"/>
  <c r="AS13" i="1"/>
  <c r="AS36" i="1"/>
  <c r="AS37" i="1"/>
  <c r="AS34" i="1"/>
  <c r="AS2" i="1"/>
  <c r="AS26" i="1"/>
  <c r="AS30" i="1"/>
</calcChain>
</file>

<file path=xl/sharedStrings.xml><?xml version="1.0" encoding="utf-8"?>
<sst xmlns="http://schemas.openxmlformats.org/spreadsheetml/2006/main" count="286" uniqueCount="63">
  <si>
    <t>Stream</t>
  </si>
  <si>
    <t>NightLight</t>
  </si>
  <si>
    <t>Temp</t>
  </si>
  <si>
    <t>Flow</t>
  </si>
  <si>
    <t>NightDay</t>
  </si>
  <si>
    <t>Baetidae</t>
  </si>
  <si>
    <t>Heptigeniidae</t>
  </si>
  <si>
    <t>Amelitidae</t>
  </si>
  <si>
    <t>Paraleptiphlebidae</t>
  </si>
  <si>
    <t>Neumuridae</t>
  </si>
  <si>
    <t>Chloroperlidae</t>
  </si>
  <si>
    <t>Perlodidae</t>
  </si>
  <si>
    <t>Coleoptera</t>
  </si>
  <si>
    <t>Chironomidae</t>
  </si>
  <si>
    <t>Simuliidae</t>
  </si>
  <si>
    <t>Day</t>
  </si>
  <si>
    <t>Date</t>
  </si>
  <si>
    <t>Hemiptera</t>
  </si>
  <si>
    <t>Rickreall</t>
  </si>
  <si>
    <t>Night</t>
  </si>
  <si>
    <t>Trichoptera</t>
  </si>
  <si>
    <t>PlectopteraAdult</t>
  </si>
  <si>
    <t>EphemeropteraAdult</t>
  </si>
  <si>
    <t>ChiroPupae</t>
  </si>
  <si>
    <t>Hymenoptera</t>
  </si>
  <si>
    <t>NSantiam</t>
  </si>
  <si>
    <t>Pringle</t>
  </si>
  <si>
    <t>Blephiceridae</t>
  </si>
  <si>
    <t>Gammaridae</t>
  </si>
  <si>
    <t>Other</t>
  </si>
  <si>
    <t>TotalBehavDrift</t>
  </si>
  <si>
    <t>Fish</t>
  </si>
  <si>
    <t>Molalla</t>
  </si>
  <si>
    <t>TrichopteraAdult</t>
  </si>
  <si>
    <t>Collembola</t>
  </si>
  <si>
    <t>Epehmerellidae</t>
  </si>
  <si>
    <t>Perlidae</t>
  </si>
  <si>
    <t>Mill_WU</t>
  </si>
  <si>
    <t>Salmon</t>
  </si>
  <si>
    <t>Dixidae</t>
  </si>
  <si>
    <t>DriftDurationMin</t>
  </si>
  <si>
    <t>Depth_m</t>
  </si>
  <si>
    <t>DriftDens</t>
  </si>
  <si>
    <t>NightDayRatio</t>
  </si>
  <si>
    <t xml:space="preserve">Baker </t>
  </si>
  <si>
    <t>Peltoperlidae</t>
  </si>
  <si>
    <t>Gastropoda</t>
  </si>
  <si>
    <t>Leptohyphidae</t>
  </si>
  <si>
    <t>Mill_Aums</t>
  </si>
  <si>
    <t>Leptophlebidae</t>
  </si>
  <si>
    <t>Nestucca</t>
  </si>
  <si>
    <t>Potamanthidae</t>
  </si>
  <si>
    <t>Capniidae</t>
  </si>
  <si>
    <t>OtherDiptera</t>
  </si>
  <si>
    <t>Megaloptera</t>
  </si>
  <si>
    <t>Metadata</t>
  </si>
  <si>
    <t>Drift net used was a 250 um mesh drift net from BioQuip (Rancho Dominguez, CA) with a 30.5 x 30.5 cm opening</t>
  </si>
  <si>
    <t>Pteronarcidae</t>
  </si>
  <si>
    <t>ChiroAdult</t>
  </si>
  <si>
    <t>CrystalSpring</t>
  </si>
  <si>
    <t>Metolius</t>
  </si>
  <si>
    <t>VIIRS2018</t>
  </si>
  <si>
    <t>NEED TO AVERAGE TEMP!!! BEFORE FINAL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</si>
</sst>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0" borderId="0" xfId="0" applyFill="1"/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79F9-5E46-284B-9630-497796F9B22F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55</v>
      </c>
    </row>
    <row r="3" spans="1:1" x14ac:dyDescent="0.2">
      <c r="A3" t="s">
        <v>56</v>
      </c>
    </row>
    <row r="6" spans="1:1" x14ac:dyDescent="0.2">
      <c r="A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FFC1-276A-2047-B77D-0F4F25F81153}">
  <dimension ref="A1:AT45"/>
  <sheetViews>
    <sheetView tabSelected="1" workbookViewId="0">
      <selection activeCell="F3" sqref="F3"/>
    </sheetView>
  </sheetViews>
  <sheetFormatPr baseColWidth="10" defaultRowHeight="16" x14ac:dyDescent="0.2"/>
  <sheetData>
    <row r="1" spans="1:46" x14ac:dyDescent="0.2">
      <c r="A1" t="s">
        <v>0</v>
      </c>
      <c r="B1" t="s">
        <v>4</v>
      </c>
      <c r="C1" t="s">
        <v>16</v>
      </c>
      <c r="D1" t="s">
        <v>1</v>
      </c>
      <c r="E1" t="s">
        <v>2</v>
      </c>
      <c r="F1" t="s">
        <v>3</v>
      </c>
      <c r="G1" t="s">
        <v>41</v>
      </c>
      <c r="H1" t="s">
        <v>40</v>
      </c>
      <c r="I1" t="s">
        <v>5</v>
      </c>
      <c r="J1" t="s">
        <v>6</v>
      </c>
      <c r="K1" t="s">
        <v>7</v>
      </c>
      <c r="L1" t="s">
        <v>8</v>
      </c>
      <c r="M1" t="s">
        <v>35</v>
      </c>
      <c r="N1" t="s">
        <v>47</v>
      </c>
      <c r="O1" t="s">
        <v>51</v>
      </c>
      <c r="P1" t="s">
        <v>49</v>
      </c>
      <c r="Q1" t="s">
        <v>9</v>
      </c>
      <c r="R1" t="s">
        <v>52</v>
      </c>
      <c r="S1" t="s">
        <v>10</v>
      </c>
      <c r="T1" t="s">
        <v>36</v>
      </c>
      <c r="U1" t="s">
        <v>45</v>
      </c>
      <c r="V1" t="s">
        <v>11</v>
      </c>
      <c r="W1" t="s">
        <v>57</v>
      </c>
      <c r="X1" t="s">
        <v>28</v>
      </c>
      <c r="Y1" t="s">
        <v>12</v>
      </c>
      <c r="Z1" t="s">
        <v>13</v>
      </c>
      <c r="AA1" t="s">
        <v>14</v>
      </c>
      <c r="AB1" t="s">
        <v>39</v>
      </c>
      <c r="AC1" t="s">
        <v>27</v>
      </c>
      <c r="AD1" t="s">
        <v>53</v>
      </c>
      <c r="AE1" t="s">
        <v>20</v>
      </c>
      <c r="AF1" t="s">
        <v>54</v>
      </c>
      <c r="AG1" t="s">
        <v>17</v>
      </c>
      <c r="AH1" t="s">
        <v>21</v>
      </c>
      <c r="AI1" t="s">
        <v>22</v>
      </c>
      <c r="AJ1" t="s">
        <v>33</v>
      </c>
      <c r="AK1" t="s">
        <v>23</v>
      </c>
      <c r="AL1" t="s">
        <v>58</v>
      </c>
      <c r="AM1" t="s">
        <v>24</v>
      </c>
      <c r="AN1" t="s">
        <v>34</v>
      </c>
      <c r="AO1" t="s">
        <v>46</v>
      </c>
      <c r="AP1" t="s">
        <v>29</v>
      </c>
      <c r="AQ1" t="s">
        <v>31</v>
      </c>
      <c r="AR1" t="s">
        <v>30</v>
      </c>
      <c r="AS1" t="s">
        <v>42</v>
      </c>
    </row>
    <row r="2" spans="1:46" x14ac:dyDescent="0.2">
      <c r="A2" s="2" t="s">
        <v>44</v>
      </c>
      <c r="B2" s="2" t="s">
        <v>15</v>
      </c>
      <c r="C2" s="3">
        <v>43297</v>
      </c>
      <c r="D2" s="2">
        <v>1.2999999999999999E-5</v>
      </c>
      <c r="E2" s="2">
        <v>19.5</v>
      </c>
      <c r="F2" s="2">
        <f>(1/((2.6+2.1+2.3)/3))/10</f>
        <v>4.2857142857142858E-2</v>
      </c>
      <c r="G2" s="2">
        <v>0.1</v>
      </c>
      <c r="H2" s="2">
        <v>33</v>
      </c>
      <c r="I2" s="2">
        <v>5</v>
      </c>
      <c r="J2" s="2">
        <v>2</v>
      </c>
      <c r="K2" s="2">
        <v>0</v>
      </c>
      <c r="L2" s="2">
        <v>0</v>
      </c>
      <c r="M2" s="2">
        <v>5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2</v>
      </c>
      <c r="V2" s="2">
        <v>0</v>
      </c>
      <c r="W2" s="2">
        <v>0</v>
      </c>
      <c r="X2" s="2">
        <v>0</v>
      </c>
      <c r="Y2" s="2">
        <v>6</v>
      </c>
      <c r="Z2" s="2">
        <v>4</v>
      </c>
      <c r="AA2" s="2">
        <v>15</v>
      </c>
      <c r="AB2" s="2">
        <v>0</v>
      </c>
      <c r="AC2" s="2">
        <v>0</v>
      </c>
      <c r="AD2" s="2">
        <v>0</v>
      </c>
      <c r="AE2" s="2">
        <v>3</v>
      </c>
      <c r="AF2" s="2">
        <v>0</v>
      </c>
      <c r="AG2" s="2">
        <v>1</v>
      </c>
      <c r="AH2" s="2">
        <v>0</v>
      </c>
      <c r="AI2" s="2">
        <v>1</v>
      </c>
      <c r="AJ2" s="2">
        <v>1</v>
      </c>
      <c r="AK2" s="2">
        <v>2</v>
      </c>
      <c r="AL2" s="2">
        <v>4</v>
      </c>
      <c r="AM2" s="2">
        <v>7</v>
      </c>
      <c r="AN2" s="2">
        <v>0</v>
      </c>
      <c r="AO2" s="2">
        <v>0</v>
      </c>
      <c r="AP2" s="2">
        <v>10</v>
      </c>
      <c r="AQ2" s="2">
        <v>0</v>
      </c>
      <c r="AR2" s="2">
        <f t="shared" ref="AR2:AR37" si="0">I2+J2+K2+L2+M2+N2+O2+Q2+P2+R2+S2+T2+V2+X2</f>
        <v>13</v>
      </c>
      <c r="AS2" s="2">
        <f t="shared" ref="AS2:AS37" si="1">(AR2*100)/(H2*30*G2*F2*3600)</f>
        <v>8.5110362888140667E-2</v>
      </c>
      <c r="AT2">
        <f>AS3/AS2</f>
        <v>2.9568892645815725</v>
      </c>
    </row>
    <row r="3" spans="1:46" x14ac:dyDescent="0.2">
      <c r="A3" s="2" t="s">
        <v>44</v>
      </c>
      <c r="B3" s="2" t="s">
        <v>19</v>
      </c>
      <c r="C3" s="3">
        <v>43297</v>
      </c>
      <c r="D3" s="2">
        <v>1.2999999999999999E-5</v>
      </c>
      <c r="E3" s="2">
        <v>21.8</v>
      </c>
      <c r="F3" s="2">
        <f>(1/((1.8+2.1+1.7)/3))/10</f>
        <v>5.3571428571428562E-2</v>
      </c>
      <c r="G3" s="2">
        <v>0.13</v>
      </c>
      <c r="H3" s="2">
        <v>28</v>
      </c>
      <c r="I3" s="2">
        <v>44</v>
      </c>
      <c r="J3" s="2">
        <v>2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4</v>
      </c>
      <c r="Q3" s="2">
        <v>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13</v>
      </c>
      <c r="Z3" s="2">
        <v>15</v>
      </c>
      <c r="AA3" s="2">
        <v>13</v>
      </c>
      <c r="AB3" s="2">
        <v>0</v>
      </c>
      <c r="AC3" s="2">
        <v>0</v>
      </c>
      <c r="AD3" s="2">
        <v>0</v>
      </c>
      <c r="AE3" s="2">
        <v>5</v>
      </c>
      <c r="AF3" s="2">
        <v>1</v>
      </c>
      <c r="AG3" s="2">
        <v>3</v>
      </c>
      <c r="AH3" s="2">
        <v>0</v>
      </c>
      <c r="AI3" s="2">
        <v>0</v>
      </c>
      <c r="AJ3" s="2">
        <v>0</v>
      </c>
      <c r="AK3" s="2">
        <v>24</v>
      </c>
      <c r="AL3" s="2">
        <v>9</v>
      </c>
      <c r="AM3" s="2">
        <v>3</v>
      </c>
      <c r="AN3" s="2">
        <v>0</v>
      </c>
      <c r="AO3" s="2">
        <v>0</v>
      </c>
      <c r="AP3" s="2">
        <v>6</v>
      </c>
      <c r="AQ3" s="2">
        <v>2</v>
      </c>
      <c r="AR3" s="2">
        <f t="shared" si="0"/>
        <v>53</v>
      </c>
      <c r="AS3" s="2">
        <f t="shared" si="1"/>
        <v>0.25166191832858503</v>
      </c>
    </row>
    <row r="4" spans="1:46" x14ac:dyDescent="0.2">
      <c r="A4" s="4" t="s">
        <v>44</v>
      </c>
      <c r="B4" s="4" t="s">
        <v>15</v>
      </c>
      <c r="C4" s="5">
        <v>43319</v>
      </c>
      <c r="D4">
        <v>1.2999999999999999E-5</v>
      </c>
      <c r="E4" s="4">
        <v>20.7</v>
      </c>
      <c r="F4">
        <f>(1/((3.2+3.4+2.5)/3))/10</f>
        <v>3.2967032967032968E-2</v>
      </c>
      <c r="G4" s="4">
        <v>0.14000000000000001</v>
      </c>
      <c r="H4" s="4">
        <v>30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6" x14ac:dyDescent="0.2">
      <c r="A5" s="4" t="s">
        <v>44</v>
      </c>
      <c r="B5" s="4" t="s">
        <v>19</v>
      </c>
      <c r="C5" s="5">
        <v>43319</v>
      </c>
      <c r="D5">
        <v>1.2999999999999999E-5</v>
      </c>
      <c r="E5" s="4">
        <v>21.6</v>
      </c>
      <c r="F5">
        <f>(1/((3.8+3.4+3.6)/3))/10</f>
        <v>2.777777777777778E-2</v>
      </c>
      <c r="G5" s="4">
        <v>0.1</v>
      </c>
      <c r="H5" s="4">
        <v>31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6" x14ac:dyDescent="0.2">
      <c r="A6" t="s">
        <v>48</v>
      </c>
      <c r="B6" t="s">
        <v>15</v>
      </c>
      <c r="C6" s="1">
        <v>43292</v>
      </c>
      <c r="D6">
        <v>3.0500000000000002E-3</v>
      </c>
      <c r="E6">
        <v>17.2</v>
      </c>
      <c r="F6">
        <f>(1/((1.8+1.4+1.4)/3))/10</f>
        <v>6.5217391304347824E-2</v>
      </c>
      <c r="G6">
        <v>0.16</v>
      </c>
      <c r="H6">
        <v>30</v>
      </c>
    </row>
    <row r="7" spans="1:46" x14ac:dyDescent="0.2">
      <c r="A7" t="s">
        <v>48</v>
      </c>
      <c r="B7" t="s">
        <v>19</v>
      </c>
      <c r="C7" s="1">
        <v>43292</v>
      </c>
      <c r="D7">
        <v>3.0500000000000002E-3</v>
      </c>
      <c r="E7">
        <v>18.8</v>
      </c>
      <c r="F7">
        <f>(1/((1.1+1.2+1.4)/3))/10</f>
        <v>8.1081081081081099E-2</v>
      </c>
      <c r="G7">
        <v>0.14000000000000001</v>
      </c>
      <c r="H7">
        <v>17</v>
      </c>
    </row>
    <row r="8" spans="1:46" x14ac:dyDescent="0.2">
      <c r="A8" t="s">
        <v>48</v>
      </c>
      <c r="B8" t="s">
        <v>15</v>
      </c>
      <c r="C8" s="1">
        <v>43315</v>
      </c>
      <c r="D8">
        <v>3.0500000000000002E-3</v>
      </c>
      <c r="E8">
        <v>18.2</v>
      </c>
      <c r="F8">
        <f>(1/((1+1.1+1)/3))/10</f>
        <v>9.6774193548387094E-2</v>
      </c>
      <c r="G8">
        <v>0.22</v>
      </c>
      <c r="H8">
        <v>20</v>
      </c>
      <c r="I8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20</v>
      </c>
      <c r="AA8">
        <v>11</v>
      </c>
      <c r="AB8">
        <v>0</v>
      </c>
      <c r="AC8">
        <v>0</v>
      </c>
      <c r="AD8">
        <v>0</v>
      </c>
      <c r="AE8">
        <v>2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19</v>
      </c>
      <c r="AQ8">
        <v>0</v>
      </c>
      <c r="AR8">
        <f t="shared" ref="AR8" si="2">I8+J8+K8+L8+M8+N8+O8+Q8+P8+R8+S8+T8+V8+X8</f>
        <v>17</v>
      </c>
      <c r="AS8">
        <f t="shared" ref="AS8" si="3">(AR8*100)/(H8*30*G8*F8*3600)</f>
        <v>3.6966891133557805E-2</v>
      </c>
    </row>
    <row r="9" spans="1:46" x14ac:dyDescent="0.2">
      <c r="A9" t="s">
        <v>48</v>
      </c>
      <c r="B9" t="s">
        <v>19</v>
      </c>
      <c r="C9" s="1">
        <v>43315</v>
      </c>
      <c r="D9">
        <v>3.0500000000000002E-3</v>
      </c>
      <c r="E9">
        <v>18.2</v>
      </c>
      <c r="F9">
        <f>(1/((1+0.9+1.1)/3))/10</f>
        <v>0.1</v>
      </c>
      <c r="G9">
        <v>0.18</v>
      </c>
      <c r="H9">
        <v>21</v>
      </c>
      <c r="I9">
        <v>120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Z9">
        <v>36</v>
      </c>
      <c r="AA9">
        <v>38</v>
      </c>
      <c r="AB9">
        <v>0</v>
      </c>
      <c r="AC9">
        <v>0</v>
      </c>
      <c r="AD9">
        <v>0</v>
      </c>
      <c r="AE9">
        <v>17</v>
      </c>
      <c r="AF9">
        <v>2</v>
      </c>
      <c r="AG9">
        <v>4</v>
      </c>
      <c r="AH9">
        <v>0</v>
      </c>
      <c r="AI9">
        <v>0</v>
      </c>
      <c r="AJ9">
        <v>2</v>
      </c>
      <c r="AK9">
        <v>28</v>
      </c>
      <c r="AL9">
        <v>6</v>
      </c>
      <c r="AM9">
        <v>2</v>
      </c>
      <c r="AN9">
        <v>0</v>
      </c>
      <c r="AO9">
        <v>0</v>
      </c>
      <c r="AP9">
        <v>4</v>
      </c>
      <c r="AQ9">
        <v>5</v>
      </c>
      <c r="AR9">
        <f t="shared" si="0"/>
        <v>122</v>
      </c>
      <c r="AS9">
        <f t="shared" si="1"/>
        <v>0.2988438173623359</v>
      </c>
    </row>
    <row r="10" spans="1:46" x14ac:dyDescent="0.2">
      <c r="A10" t="s">
        <v>37</v>
      </c>
      <c r="B10" t="s">
        <v>15</v>
      </c>
      <c r="C10" s="1">
        <v>43291</v>
      </c>
      <c r="D10">
        <v>0.23899999999999999</v>
      </c>
      <c r="E10">
        <v>22.1</v>
      </c>
      <c r="F10">
        <f>(1/((2.6+2.7+4)/3))/10</f>
        <v>3.2258064516129031E-2</v>
      </c>
      <c r="G10">
        <v>3.5000000000000003E-2</v>
      </c>
      <c r="H10">
        <v>86</v>
      </c>
    </row>
    <row r="11" spans="1:46" x14ac:dyDescent="0.2">
      <c r="A11" t="s">
        <v>37</v>
      </c>
      <c r="B11" t="s">
        <v>19</v>
      </c>
      <c r="C11" s="1">
        <v>43291</v>
      </c>
      <c r="D11">
        <v>0.23899999999999999</v>
      </c>
      <c r="E11">
        <v>17.7</v>
      </c>
      <c r="F11">
        <f>(1/((3.8+3.8+3.6)/3))/10</f>
        <v>2.6785714285714291E-2</v>
      </c>
      <c r="G11">
        <v>0.04</v>
      </c>
      <c r="H11">
        <v>63</v>
      </c>
      <c r="I11">
        <v>33</v>
      </c>
      <c r="J11">
        <v>2</v>
      </c>
      <c r="K11">
        <v>0</v>
      </c>
      <c r="L11">
        <v>0</v>
      </c>
      <c r="M11">
        <v>0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6</v>
      </c>
      <c r="Z11">
        <v>15</v>
      </c>
      <c r="AA11">
        <v>6</v>
      </c>
      <c r="AB11">
        <v>0</v>
      </c>
      <c r="AC11">
        <v>0</v>
      </c>
      <c r="AD11">
        <v>0</v>
      </c>
      <c r="AE11">
        <v>14</v>
      </c>
      <c r="AF11">
        <v>0</v>
      </c>
      <c r="AG11">
        <v>29</v>
      </c>
      <c r="AH11">
        <v>0</v>
      </c>
      <c r="AI11">
        <v>3</v>
      </c>
      <c r="AJ11">
        <v>1</v>
      </c>
      <c r="AK11">
        <v>14</v>
      </c>
      <c r="AL11">
        <v>68</v>
      </c>
      <c r="AM11">
        <v>49</v>
      </c>
      <c r="AN11">
        <v>15</v>
      </c>
      <c r="AO11">
        <v>0</v>
      </c>
      <c r="AP11">
        <v>10</v>
      </c>
      <c r="AQ11">
        <v>4</v>
      </c>
      <c r="AR11">
        <f t="shared" si="0"/>
        <v>48</v>
      </c>
      <c r="AS11">
        <f t="shared" si="1"/>
        <v>0.65843621399176933</v>
      </c>
    </row>
    <row r="12" spans="1:46" x14ac:dyDescent="0.2">
      <c r="A12" s="2" t="s">
        <v>37</v>
      </c>
      <c r="B12" s="2" t="s">
        <v>19</v>
      </c>
      <c r="C12" s="3">
        <v>43314</v>
      </c>
      <c r="D12" s="2">
        <v>2.1999999999999999E-2</v>
      </c>
      <c r="E12" s="2">
        <v>19.2</v>
      </c>
      <c r="F12" s="2">
        <f>(1/((2.4+3+2.7)/3))/10</f>
        <v>3.7037037037037028E-2</v>
      </c>
      <c r="G12" s="2">
        <v>0.14000000000000001</v>
      </c>
      <c r="H12" s="2">
        <v>45</v>
      </c>
      <c r="I12" s="2">
        <v>14</v>
      </c>
      <c r="J12" s="2">
        <v>0</v>
      </c>
      <c r="K12" s="2">
        <v>1</v>
      </c>
      <c r="L12" s="2">
        <v>0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4</v>
      </c>
      <c r="Y12" s="2">
        <v>0</v>
      </c>
      <c r="Z12" s="2">
        <v>75</v>
      </c>
      <c r="AA12" s="2">
        <v>6</v>
      </c>
      <c r="AB12" s="2">
        <v>0</v>
      </c>
      <c r="AC12" s="2">
        <v>0</v>
      </c>
      <c r="AD12" s="2">
        <v>0</v>
      </c>
      <c r="AE12" s="2">
        <v>7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12</v>
      </c>
      <c r="AL12" s="2">
        <v>18</v>
      </c>
      <c r="AM12" s="2">
        <v>3</v>
      </c>
      <c r="AN12" s="2">
        <v>1</v>
      </c>
      <c r="AO12" s="2">
        <v>0</v>
      </c>
      <c r="AP12" s="2">
        <v>4</v>
      </c>
      <c r="AQ12" s="2">
        <v>0</v>
      </c>
      <c r="AR12" s="2">
        <f t="shared" si="0"/>
        <v>21</v>
      </c>
      <c r="AS12" s="2">
        <f t="shared" si="1"/>
        <v>8.3333333333333343E-2</v>
      </c>
    </row>
    <row r="13" spans="1:46" x14ac:dyDescent="0.2">
      <c r="A13" s="2" t="s">
        <v>37</v>
      </c>
      <c r="B13" s="2" t="s">
        <v>15</v>
      </c>
      <c r="C13" s="3">
        <v>43314</v>
      </c>
      <c r="D13" s="2">
        <v>2.1999999999999999E-2</v>
      </c>
      <c r="E13" s="2">
        <v>19.2</v>
      </c>
      <c r="F13" s="2">
        <f>(1/((1.9+1.6+1.8)/3))/10</f>
        <v>5.6603773584905662E-2</v>
      </c>
      <c r="G13" s="2">
        <v>7.0000000000000007E-2</v>
      </c>
      <c r="H13" s="2">
        <v>31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2</v>
      </c>
      <c r="AH13" s="2">
        <v>0</v>
      </c>
      <c r="AI13" s="2">
        <v>0</v>
      </c>
      <c r="AJ13" s="2">
        <v>2</v>
      </c>
      <c r="AK13" s="2">
        <v>2</v>
      </c>
      <c r="AL13" s="2">
        <v>9</v>
      </c>
      <c r="AM13" s="2">
        <v>5</v>
      </c>
      <c r="AN13" s="2">
        <v>0</v>
      </c>
      <c r="AO13" s="2">
        <v>0</v>
      </c>
      <c r="AP13" s="2">
        <v>1</v>
      </c>
      <c r="AQ13" s="2">
        <v>0</v>
      </c>
      <c r="AR13" s="2">
        <f t="shared" si="0"/>
        <v>1</v>
      </c>
      <c r="AS13" s="2">
        <f t="shared" si="1"/>
        <v>7.5382602264322685E-3</v>
      </c>
    </row>
    <row r="14" spans="1:46" x14ac:dyDescent="0.2">
      <c r="A14" t="s">
        <v>32</v>
      </c>
      <c r="B14" t="s">
        <v>19</v>
      </c>
      <c r="C14" s="1">
        <v>43294</v>
      </c>
      <c r="D14">
        <v>8.7000000000000001E-4</v>
      </c>
      <c r="E14">
        <v>23.9</v>
      </c>
      <c r="F14">
        <f>(1/((1.2+1.4+1.1)/3))/10</f>
        <v>8.1081081081081099E-2</v>
      </c>
      <c r="G14">
        <v>0.13</v>
      </c>
      <c r="H14">
        <v>30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6" x14ac:dyDescent="0.2">
      <c r="A15" t="s">
        <v>32</v>
      </c>
      <c r="B15" t="s">
        <v>15</v>
      </c>
      <c r="C15" s="1">
        <v>43294</v>
      </c>
      <c r="D15">
        <v>8.7000000000000001E-4</v>
      </c>
      <c r="E15">
        <v>23.7</v>
      </c>
      <c r="F15">
        <f>(1/((1.7+1.4+1.1)/3))/10</f>
        <v>7.1428571428571438E-2</v>
      </c>
      <c r="G15">
        <v>0.1</v>
      </c>
      <c r="H15">
        <v>30</v>
      </c>
      <c r="I15">
        <v>23</v>
      </c>
      <c r="J15">
        <v>2</v>
      </c>
      <c r="K15">
        <v>0</v>
      </c>
      <c r="L15">
        <v>0</v>
      </c>
      <c r="M15">
        <v>1</v>
      </c>
      <c r="N15">
        <v>3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8</v>
      </c>
      <c r="Z15">
        <v>46</v>
      </c>
      <c r="AA15">
        <v>5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1</v>
      </c>
      <c r="AK15">
        <v>76</v>
      </c>
      <c r="AL15">
        <v>108</v>
      </c>
      <c r="AM15">
        <v>2</v>
      </c>
      <c r="AN15">
        <v>2</v>
      </c>
      <c r="AO15">
        <v>2</v>
      </c>
      <c r="AP15">
        <v>27</v>
      </c>
      <c r="AQ15">
        <v>0</v>
      </c>
      <c r="AR15">
        <f t="shared" si="0"/>
        <v>31</v>
      </c>
      <c r="AS15">
        <f t="shared" si="1"/>
        <v>0.13395061728395058</v>
      </c>
    </row>
    <row r="16" spans="1:46" x14ac:dyDescent="0.2">
      <c r="A16" s="2" t="s">
        <v>32</v>
      </c>
      <c r="B16" s="2" t="s">
        <v>15</v>
      </c>
      <c r="C16" s="3">
        <v>43317</v>
      </c>
      <c r="D16" s="2">
        <v>7.2499999999999995E-4</v>
      </c>
      <c r="E16" s="2">
        <v>21.9</v>
      </c>
      <c r="F16" s="2">
        <f>(1/((1.3+1.4+1.1)/3))/10</f>
        <v>7.8947368421052627E-2</v>
      </c>
      <c r="G16" s="2">
        <v>0.13</v>
      </c>
      <c r="H16" s="2">
        <v>30</v>
      </c>
      <c r="I16" s="2">
        <v>9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3</v>
      </c>
      <c r="Z16" s="2">
        <v>0</v>
      </c>
      <c r="AA16" s="2">
        <v>13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1</v>
      </c>
      <c r="AK16" s="2">
        <v>3</v>
      </c>
      <c r="AL16" s="2">
        <v>5</v>
      </c>
      <c r="AM16" s="2">
        <v>7</v>
      </c>
      <c r="AN16" s="2">
        <v>0</v>
      </c>
      <c r="AO16" s="2">
        <v>0</v>
      </c>
      <c r="AP16" s="2">
        <v>0</v>
      </c>
      <c r="AQ16" s="2">
        <v>0</v>
      </c>
      <c r="AR16" s="2">
        <f t="shared" si="0"/>
        <v>10</v>
      </c>
      <c r="AS16" s="2">
        <f t="shared" si="1"/>
        <v>3.007280785058563E-2</v>
      </c>
    </row>
    <row r="17" spans="1:45" x14ac:dyDescent="0.2">
      <c r="A17" s="2" t="s">
        <v>32</v>
      </c>
      <c r="B17" s="2" t="s">
        <v>19</v>
      </c>
      <c r="C17" s="3">
        <v>43317</v>
      </c>
      <c r="D17" s="2">
        <v>7.2499999999999995E-4</v>
      </c>
      <c r="E17" s="2">
        <v>24.7</v>
      </c>
      <c r="F17" s="2">
        <f>(1/((1.5+1.7+1.4)/3))/10</f>
        <v>6.5217391304347824E-2</v>
      </c>
      <c r="G17" s="2">
        <v>0.19</v>
      </c>
      <c r="H17" s="2">
        <v>32</v>
      </c>
      <c r="I17" s="2">
        <v>18</v>
      </c>
      <c r="J17" s="2">
        <v>18</v>
      </c>
      <c r="K17" s="2">
        <v>0</v>
      </c>
      <c r="L17" s="2">
        <v>3</v>
      </c>
      <c r="M17" s="2">
        <v>23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16</v>
      </c>
      <c r="W17" s="2">
        <v>0</v>
      </c>
      <c r="X17" s="2">
        <v>0</v>
      </c>
      <c r="Y17" s="2">
        <v>55</v>
      </c>
      <c r="Z17" s="2">
        <v>41</v>
      </c>
      <c r="AA17" s="2">
        <v>8</v>
      </c>
      <c r="AB17" s="2">
        <v>0</v>
      </c>
      <c r="AC17" s="2">
        <v>0</v>
      </c>
      <c r="AD17" s="2">
        <v>0</v>
      </c>
      <c r="AE17" s="2">
        <v>253</v>
      </c>
      <c r="AF17" s="2">
        <v>0</v>
      </c>
      <c r="AG17" s="2">
        <v>0</v>
      </c>
      <c r="AH17" s="2">
        <v>0</v>
      </c>
      <c r="AI17" s="2">
        <v>0</v>
      </c>
      <c r="AJ17" s="2">
        <v>4</v>
      </c>
      <c r="AK17" s="2">
        <v>7</v>
      </c>
      <c r="AL17" s="2">
        <v>3</v>
      </c>
      <c r="AM17" s="2">
        <v>3</v>
      </c>
      <c r="AN17" s="2">
        <v>0</v>
      </c>
      <c r="AO17" s="2">
        <v>0</v>
      </c>
      <c r="AP17" s="2">
        <v>0</v>
      </c>
      <c r="AQ17" s="2">
        <v>0</v>
      </c>
      <c r="AR17" s="2">
        <f t="shared" si="0"/>
        <v>79</v>
      </c>
      <c r="AS17" s="2">
        <f t="shared" si="1"/>
        <v>0.1844744964262508</v>
      </c>
    </row>
    <row r="18" spans="1:45" x14ac:dyDescent="0.2">
      <c r="A18" t="s">
        <v>50</v>
      </c>
      <c r="B18" t="s">
        <v>15</v>
      </c>
      <c r="C18" s="1">
        <v>43297</v>
      </c>
      <c r="D18">
        <v>1.2999999999999999E-5</v>
      </c>
      <c r="E18">
        <v>17.399999999999999</v>
      </c>
      <c r="F18">
        <f>(1/((1.7+1.7+2.1)/3))/10</f>
        <v>5.454545454545455E-2</v>
      </c>
      <c r="G18">
        <v>0.30499999999999999</v>
      </c>
      <c r="H18">
        <v>29</v>
      </c>
      <c r="I18">
        <v>16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2</v>
      </c>
      <c r="Z18">
        <v>26</v>
      </c>
      <c r="AA18">
        <v>1</v>
      </c>
      <c r="AB18">
        <v>1</v>
      </c>
      <c r="AC18">
        <v>0</v>
      </c>
      <c r="AD18">
        <v>1</v>
      </c>
      <c r="AE18">
        <v>4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3</v>
      </c>
      <c r="AL18">
        <v>4</v>
      </c>
      <c r="AM18">
        <v>3</v>
      </c>
      <c r="AN18">
        <v>0</v>
      </c>
      <c r="AO18">
        <v>0</v>
      </c>
      <c r="AP18">
        <v>10</v>
      </c>
      <c r="AQ18">
        <v>0</v>
      </c>
      <c r="AR18">
        <f t="shared" si="0"/>
        <v>20</v>
      </c>
      <c r="AS18">
        <f t="shared" si="1"/>
        <v>3.8383965272979784E-2</v>
      </c>
    </row>
    <row r="19" spans="1:45" x14ac:dyDescent="0.2">
      <c r="A19" t="s">
        <v>50</v>
      </c>
      <c r="B19" t="s">
        <v>19</v>
      </c>
      <c r="C19" s="1">
        <v>43297</v>
      </c>
      <c r="D19">
        <v>1.2999999999999999E-5</v>
      </c>
      <c r="E19">
        <v>16.899999999999999</v>
      </c>
      <c r="F19">
        <f>(1/((1.9+1.4+2.2)/3))/10</f>
        <v>5.454545454545455E-2</v>
      </c>
      <c r="G19">
        <v>0.27</v>
      </c>
      <c r="H19">
        <v>22</v>
      </c>
    </row>
    <row r="20" spans="1:45" x14ac:dyDescent="0.2">
      <c r="A20" t="s">
        <v>50</v>
      </c>
      <c r="B20" t="s">
        <v>15</v>
      </c>
      <c r="C20" s="1">
        <v>43319</v>
      </c>
      <c r="D20">
        <v>1.2999999999999999E-5</v>
      </c>
      <c r="E20">
        <v>17.3</v>
      </c>
      <c r="F20">
        <f>(1/((1.6+1.7+1.5)/3))/10</f>
        <v>6.25E-2</v>
      </c>
      <c r="G20">
        <v>0.09</v>
      </c>
      <c r="H20">
        <v>30</v>
      </c>
    </row>
    <row r="21" spans="1:45" x14ac:dyDescent="0.2">
      <c r="A21" t="s">
        <v>50</v>
      </c>
      <c r="B21" t="s">
        <v>19</v>
      </c>
      <c r="C21" s="1">
        <v>43319</v>
      </c>
      <c r="D21">
        <v>1.2999999999999999E-5</v>
      </c>
      <c r="E21">
        <v>16.899999999999999</v>
      </c>
      <c r="F21">
        <f>(1/((2.7+2.6+2)/3))/10</f>
        <v>4.1095890410958902E-2</v>
      </c>
      <c r="G21">
        <v>0.24</v>
      </c>
      <c r="H21">
        <v>31</v>
      </c>
      <c r="I21">
        <v>142</v>
      </c>
      <c r="J21">
        <v>5</v>
      </c>
      <c r="K21">
        <v>0</v>
      </c>
      <c r="L21">
        <v>0</v>
      </c>
      <c r="M21">
        <v>0</v>
      </c>
      <c r="N21">
        <v>0</v>
      </c>
      <c r="O21">
        <v>2</v>
      </c>
      <c r="P21">
        <v>11</v>
      </c>
      <c r="Q21">
        <v>2</v>
      </c>
      <c r="R21">
        <v>5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11</v>
      </c>
      <c r="Z21">
        <v>46</v>
      </c>
      <c r="AA21">
        <v>24</v>
      </c>
      <c r="AB21">
        <v>2</v>
      </c>
      <c r="AC21">
        <v>0</v>
      </c>
      <c r="AD21">
        <v>5</v>
      </c>
      <c r="AE21">
        <v>29</v>
      </c>
      <c r="AF21">
        <v>0</v>
      </c>
      <c r="AG21">
        <v>16</v>
      </c>
      <c r="AH21">
        <v>0</v>
      </c>
      <c r="AI21">
        <v>0</v>
      </c>
      <c r="AJ21">
        <v>0</v>
      </c>
      <c r="AK21">
        <v>308</v>
      </c>
      <c r="AL21">
        <v>533</v>
      </c>
      <c r="AM21">
        <v>1</v>
      </c>
      <c r="AN21">
        <v>0</v>
      </c>
      <c r="AO21">
        <v>0</v>
      </c>
      <c r="AP21">
        <v>1</v>
      </c>
      <c r="AQ21">
        <v>0</v>
      </c>
      <c r="AR21">
        <f t="shared" si="0"/>
        <v>168</v>
      </c>
      <c r="AS21">
        <f t="shared" si="1"/>
        <v>0.50876144962166481</v>
      </c>
    </row>
    <row r="22" spans="1:45" x14ac:dyDescent="0.2">
      <c r="A22" t="s">
        <v>25</v>
      </c>
      <c r="B22" t="s">
        <v>19</v>
      </c>
      <c r="C22" s="1">
        <v>43292</v>
      </c>
      <c r="D22">
        <v>8.0999999999999996E-4</v>
      </c>
      <c r="E22">
        <v>21.4</v>
      </c>
      <c r="F22">
        <f>(1/((2.2+2.5+3.2)/3))/10</f>
        <v>3.7974683544303799E-2</v>
      </c>
      <c r="G22">
        <v>0.05</v>
      </c>
      <c r="H22">
        <v>32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Z22">
        <v>8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1</v>
      </c>
      <c r="AJ22">
        <v>1</v>
      </c>
      <c r="AK22">
        <v>14</v>
      </c>
      <c r="AL22">
        <v>19</v>
      </c>
      <c r="AM22">
        <v>1</v>
      </c>
      <c r="AN22">
        <v>1</v>
      </c>
      <c r="AO22">
        <v>0</v>
      </c>
      <c r="AP22">
        <v>1</v>
      </c>
      <c r="AQ22">
        <v>1</v>
      </c>
      <c r="AR22">
        <f t="shared" si="0"/>
        <v>8</v>
      </c>
      <c r="AS22">
        <f t="shared" si="1"/>
        <v>0.12191358024691358</v>
      </c>
    </row>
    <row r="23" spans="1:45" x14ac:dyDescent="0.2">
      <c r="A23" t="s">
        <v>25</v>
      </c>
      <c r="B23" t="s">
        <v>15</v>
      </c>
      <c r="C23" s="1">
        <v>43292</v>
      </c>
      <c r="D23">
        <v>8.0999999999999996E-4</v>
      </c>
      <c r="E23">
        <v>19.5</v>
      </c>
      <c r="F23">
        <f>(1/((2.4+2.6+2.8)/3))/10</f>
        <v>3.8461538461538457E-2</v>
      </c>
      <c r="G23">
        <v>0.05</v>
      </c>
      <c r="H23">
        <v>40</v>
      </c>
      <c r="I23">
        <v>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27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1</v>
      </c>
      <c r="AJ23">
        <v>0</v>
      </c>
      <c r="AK23">
        <v>4</v>
      </c>
      <c r="AL23">
        <v>7</v>
      </c>
      <c r="AM23">
        <v>4</v>
      </c>
      <c r="AN23">
        <v>0</v>
      </c>
      <c r="AO23">
        <v>0</v>
      </c>
      <c r="AP23">
        <v>4</v>
      </c>
      <c r="AQ23">
        <v>0</v>
      </c>
      <c r="AR23">
        <f t="shared" si="0"/>
        <v>11</v>
      </c>
      <c r="AS23">
        <f t="shared" si="1"/>
        <v>0.13240740740740742</v>
      </c>
    </row>
    <row r="24" spans="1:45" x14ac:dyDescent="0.2">
      <c r="A24" s="2" t="s">
        <v>25</v>
      </c>
      <c r="B24" s="2" t="s">
        <v>15</v>
      </c>
      <c r="C24" s="3">
        <v>43315</v>
      </c>
      <c r="D24" s="2">
        <v>4.3000000000000002E-5</v>
      </c>
      <c r="E24" s="2">
        <v>21.3</v>
      </c>
      <c r="F24" s="2">
        <f>(1/((1.5+1.6+1.6)/3))/10</f>
        <v>6.3829787234042562E-2</v>
      </c>
      <c r="G24" s="2">
        <v>0.13</v>
      </c>
      <c r="H24" s="2">
        <v>26</v>
      </c>
      <c r="I24" s="2">
        <v>4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23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2</v>
      </c>
      <c r="AH24" s="2">
        <v>0</v>
      </c>
      <c r="AI24" s="2">
        <v>0</v>
      </c>
      <c r="AJ24" s="2">
        <v>0</v>
      </c>
      <c r="AK24" s="2">
        <v>6</v>
      </c>
      <c r="AL24" s="2">
        <v>25</v>
      </c>
      <c r="AM24" s="2">
        <v>1</v>
      </c>
      <c r="AN24" s="2">
        <v>0</v>
      </c>
      <c r="AO24" s="2">
        <v>0</v>
      </c>
      <c r="AP24" s="2">
        <v>0</v>
      </c>
      <c r="AQ24" s="2">
        <v>0</v>
      </c>
      <c r="AR24" s="2">
        <f t="shared" si="0"/>
        <v>5</v>
      </c>
      <c r="AS24" s="2">
        <f t="shared" si="1"/>
        <v>2.1458835561399658E-2</v>
      </c>
    </row>
    <row r="25" spans="1:45" x14ac:dyDescent="0.2">
      <c r="A25" s="2" t="s">
        <v>25</v>
      </c>
      <c r="B25" s="2" t="s">
        <v>19</v>
      </c>
      <c r="C25" s="3">
        <v>43315</v>
      </c>
      <c r="D25" s="2">
        <v>4.3000000000000002E-5</v>
      </c>
      <c r="E25" s="2">
        <v>20.2</v>
      </c>
      <c r="F25" s="2">
        <f>(1/((1.4+1.5+1.2)/3))/10</f>
        <v>7.3170731707317083E-2</v>
      </c>
      <c r="G25" s="2">
        <v>0.08</v>
      </c>
      <c r="H25" s="2">
        <v>27</v>
      </c>
      <c r="I25" s="2">
        <v>53</v>
      </c>
      <c r="J25" s="2">
        <v>11</v>
      </c>
      <c r="K25" s="2">
        <v>16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4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6</v>
      </c>
      <c r="Z25" s="2">
        <v>16</v>
      </c>
      <c r="AA25" s="2">
        <v>12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f t="shared" si="0"/>
        <v>84</v>
      </c>
      <c r="AS25" s="2">
        <f t="shared" si="1"/>
        <v>0.49211248285322351</v>
      </c>
    </row>
    <row r="26" spans="1:45" x14ac:dyDescent="0.2">
      <c r="A26" t="s">
        <v>26</v>
      </c>
      <c r="B26" t="s">
        <v>15</v>
      </c>
      <c r="C26" s="1">
        <v>43291</v>
      </c>
      <c r="D26">
        <v>3.9600000000000003E-2</v>
      </c>
      <c r="E26">
        <v>18.600000000000001</v>
      </c>
      <c r="F26">
        <f>(1/((2.2+1.5+1.3)/3))/10</f>
        <v>0.06</v>
      </c>
      <c r="G26">
        <v>0.17</v>
      </c>
      <c r="H26">
        <v>43</v>
      </c>
      <c r="I26">
        <v>16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</v>
      </c>
      <c r="Y26">
        <v>16</v>
      </c>
      <c r="Z26">
        <v>19</v>
      </c>
      <c r="AA26">
        <v>10</v>
      </c>
      <c r="AB26">
        <v>0</v>
      </c>
      <c r="AC26">
        <v>0</v>
      </c>
      <c r="AD26">
        <v>0</v>
      </c>
      <c r="AE26">
        <v>10</v>
      </c>
      <c r="AF26">
        <v>0</v>
      </c>
      <c r="AG26">
        <v>69</v>
      </c>
      <c r="AH26">
        <v>0</v>
      </c>
      <c r="AI26">
        <v>1</v>
      </c>
      <c r="AJ26">
        <v>2</v>
      </c>
      <c r="AK26">
        <v>7</v>
      </c>
      <c r="AL26">
        <v>15</v>
      </c>
      <c r="AM26">
        <v>26</v>
      </c>
      <c r="AN26">
        <v>0</v>
      </c>
      <c r="AO26">
        <v>1</v>
      </c>
      <c r="AP26">
        <v>28</v>
      </c>
      <c r="AQ26">
        <v>0</v>
      </c>
      <c r="AR26">
        <f t="shared" si="0"/>
        <v>21</v>
      </c>
      <c r="AS26">
        <f t="shared" si="1"/>
        <v>4.4332978669503982E-2</v>
      </c>
    </row>
    <row r="27" spans="1:45" x14ac:dyDescent="0.2">
      <c r="A27" t="s">
        <v>26</v>
      </c>
      <c r="B27" t="s">
        <v>19</v>
      </c>
      <c r="C27" s="1">
        <v>43291</v>
      </c>
      <c r="D27">
        <v>3.9600000000000003E-2</v>
      </c>
      <c r="E27">
        <v>18.5</v>
      </c>
      <c r="F27">
        <f>(1/((1.2+1+1.2)/3))/10</f>
        <v>8.8235294117647051E-2</v>
      </c>
      <c r="G27">
        <v>0.1</v>
      </c>
      <c r="H27">
        <v>28</v>
      </c>
      <c r="I27">
        <v>46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5</v>
      </c>
      <c r="AA27">
        <v>11</v>
      </c>
      <c r="AB27">
        <v>0</v>
      </c>
      <c r="AC27">
        <v>2</v>
      </c>
      <c r="AD27">
        <v>0</v>
      </c>
      <c r="AE27">
        <v>9</v>
      </c>
      <c r="AF27">
        <v>0</v>
      </c>
      <c r="AG27">
        <v>13</v>
      </c>
      <c r="AH27">
        <v>0</v>
      </c>
      <c r="AI27">
        <v>1</v>
      </c>
      <c r="AJ27">
        <v>5</v>
      </c>
      <c r="AK27">
        <v>10</v>
      </c>
      <c r="AL27">
        <v>34</v>
      </c>
      <c r="AM27">
        <v>4</v>
      </c>
      <c r="AN27">
        <v>3</v>
      </c>
      <c r="AO27">
        <v>1</v>
      </c>
      <c r="AP27">
        <v>2</v>
      </c>
      <c r="AQ27">
        <v>17</v>
      </c>
      <c r="AR27">
        <f t="shared" si="0"/>
        <v>47</v>
      </c>
      <c r="AS27">
        <f t="shared" si="1"/>
        <v>0.17614638447971784</v>
      </c>
    </row>
    <row r="28" spans="1:45" x14ac:dyDescent="0.2">
      <c r="A28" s="2" t="s">
        <v>26</v>
      </c>
      <c r="B28" s="2" t="s">
        <v>15</v>
      </c>
      <c r="C28" s="3">
        <v>43314</v>
      </c>
      <c r="D28" s="2">
        <v>1.15E-2</v>
      </c>
      <c r="E28" s="2">
        <v>19.100000000000001</v>
      </c>
      <c r="F28" s="2">
        <f>(1/((1.3+1.1+1.1)/3))/10</f>
        <v>8.5714285714285715E-2</v>
      </c>
      <c r="G28" s="2">
        <v>0.16</v>
      </c>
      <c r="H28" s="2">
        <v>25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2</v>
      </c>
      <c r="Y28" s="2">
        <v>1</v>
      </c>
      <c r="Z28" s="2">
        <v>0</v>
      </c>
      <c r="AA28" s="2">
        <v>0</v>
      </c>
      <c r="AB28" s="2">
        <v>0</v>
      </c>
      <c r="AC28" s="2">
        <v>3</v>
      </c>
      <c r="AD28" s="2">
        <v>0</v>
      </c>
      <c r="AE28" s="2">
        <v>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4</v>
      </c>
      <c r="AM28" s="2">
        <v>0</v>
      </c>
      <c r="AN28" s="2">
        <v>1</v>
      </c>
      <c r="AO28" s="2">
        <v>1</v>
      </c>
      <c r="AP28" s="2">
        <v>0</v>
      </c>
      <c r="AQ28" s="2">
        <v>0</v>
      </c>
      <c r="AR28" s="2">
        <f t="shared" si="0"/>
        <v>4</v>
      </c>
      <c r="AS28" s="2">
        <f t="shared" si="1"/>
        <v>1.0802469135802467E-2</v>
      </c>
    </row>
    <row r="29" spans="1:45" x14ac:dyDescent="0.2">
      <c r="A29" s="2" t="s">
        <v>26</v>
      </c>
      <c r="B29" s="2" t="s">
        <v>19</v>
      </c>
      <c r="C29" s="3">
        <v>43314</v>
      </c>
      <c r="D29" s="2">
        <v>1.15E-2</v>
      </c>
      <c r="E29" s="2">
        <v>18.899999999999999</v>
      </c>
      <c r="F29" s="2">
        <f>(1/((1+1.2+1.2)/3))/10</f>
        <v>8.8235294117647051E-2</v>
      </c>
      <c r="G29" s="2">
        <v>0.22</v>
      </c>
      <c r="H29" s="2">
        <v>19</v>
      </c>
      <c r="I29" s="2">
        <v>115</v>
      </c>
      <c r="J29" s="2">
        <v>3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15</v>
      </c>
      <c r="Y29" s="2">
        <v>1</v>
      </c>
      <c r="Z29" s="2">
        <v>8</v>
      </c>
      <c r="AA29" s="2">
        <v>9</v>
      </c>
      <c r="AB29" s="2">
        <v>0</v>
      </c>
      <c r="AC29" s="2">
        <v>1</v>
      </c>
      <c r="AD29" s="2">
        <v>0</v>
      </c>
      <c r="AE29" s="2">
        <v>33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2">
        <v>7</v>
      </c>
      <c r="AL29" s="2">
        <v>8</v>
      </c>
      <c r="AM29" s="2">
        <v>0</v>
      </c>
      <c r="AN29" s="2">
        <v>0</v>
      </c>
      <c r="AO29" s="2">
        <v>0</v>
      </c>
      <c r="AP29" s="2">
        <v>1</v>
      </c>
      <c r="AQ29" s="2">
        <v>1</v>
      </c>
      <c r="AR29" s="2">
        <f t="shared" si="0"/>
        <v>133</v>
      </c>
      <c r="AS29" s="2">
        <f t="shared" si="1"/>
        <v>0.33389450056116726</v>
      </c>
    </row>
    <row r="30" spans="1:45" x14ac:dyDescent="0.2">
      <c r="A30" t="s">
        <v>18</v>
      </c>
      <c r="B30" t="s">
        <v>19</v>
      </c>
      <c r="C30" s="1">
        <v>43293</v>
      </c>
      <c r="D30">
        <v>5.4000000000000003E-3</v>
      </c>
      <c r="E30">
        <v>25.7</v>
      </c>
      <c r="F30">
        <f>(1/((4.3+3.2+3.5)/3))/10</f>
        <v>2.7272727272727275E-2</v>
      </c>
      <c r="G30">
        <v>0.04</v>
      </c>
      <c r="H30">
        <v>34</v>
      </c>
      <c r="I30">
        <v>3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7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10</v>
      </c>
      <c r="AM30">
        <v>0</v>
      </c>
      <c r="AN30">
        <v>0</v>
      </c>
      <c r="AO30">
        <v>0</v>
      </c>
      <c r="AP30">
        <v>4</v>
      </c>
      <c r="AQ30">
        <v>0</v>
      </c>
      <c r="AR30">
        <f t="shared" si="0"/>
        <v>5</v>
      </c>
      <c r="AS30">
        <f t="shared" si="1"/>
        <v>0.12481844589687724</v>
      </c>
    </row>
    <row r="31" spans="1:45" x14ac:dyDescent="0.2">
      <c r="A31" t="s">
        <v>18</v>
      </c>
      <c r="B31" t="s">
        <v>15</v>
      </c>
      <c r="C31" s="1">
        <v>43293</v>
      </c>
      <c r="D31">
        <v>5.4000000000000003E-3</v>
      </c>
      <c r="E31">
        <v>21.5</v>
      </c>
      <c r="F31">
        <f>(1/((2.8+3+2.5)/3))/10</f>
        <v>3.6144578313253004E-2</v>
      </c>
      <c r="G31">
        <v>0.04</v>
      </c>
      <c r="H31">
        <v>35</v>
      </c>
      <c r="I31">
        <v>5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7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3</v>
      </c>
      <c r="AH31">
        <v>0</v>
      </c>
      <c r="AI31">
        <v>0</v>
      </c>
      <c r="AJ31">
        <v>0</v>
      </c>
      <c r="AK31">
        <v>6</v>
      </c>
      <c r="AL31">
        <v>11</v>
      </c>
      <c r="AM31">
        <v>0</v>
      </c>
      <c r="AN31">
        <v>1</v>
      </c>
      <c r="AO31">
        <v>0</v>
      </c>
      <c r="AP31">
        <v>11</v>
      </c>
      <c r="AQ31">
        <v>0</v>
      </c>
      <c r="AR31">
        <f t="shared" si="0"/>
        <v>6</v>
      </c>
      <c r="AS31">
        <f t="shared" si="1"/>
        <v>0.10978835978835981</v>
      </c>
    </row>
    <row r="32" spans="1:45" x14ac:dyDescent="0.2">
      <c r="A32" s="2" t="s">
        <v>18</v>
      </c>
      <c r="B32" s="2" t="s">
        <v>15</v>
      </c>
      <c r="C32" s="3">
        <v>43316</v>
      </c>
      <c r="D32" s="2">
        <v>3.0599999999999998E-3</v>
      </c>
      <c r="E32" s="2">
        <v>19.3</v>
      </c>
      <c r="F32" s="2">
        <f>(1/((2.2+1.7+1.6)/3))/10</f>
        <v>5.454545454545455E-2</v>
      </c>
      <c r="G32" s="2">
        <v>0.06</v>
      </c>
      <c r="H32" s="2">
        <v>36</v>
      </c>
      <c r="I32" s="2">
        <v>2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3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f t="shared" si="0"/>
        <v>4</v>
      </c>
      <c r="AS32" s="2">
        <f t="shared" si="1"/>
        <v>3.1435756744398718E-2</v>
      </c>
    </row>
    <row r="33" spans="1:45" x14ac:dyDescent="0.2">
      <c r="A33" s="2" t="s">
        <v>18</v>
      </c>
      <c r="B33" s="2" t="s">
        <v>19</v>
      </c>
      <c r="C33" s="3">
        <v>43316</v>
      </c>
      <c r="D33" s="2">
        <v>3.0599999999999998E-3</v>
      </c>
      <c r="E33" s="2">
        <v>21.7</v>
      </c>
      <c r="F33" s="2">
        <f>(1/((2.9+2.6+2.3)/3))/10</f>
        <v>3.8461538461538457E-2</v>
      </c>
      <c r="G33" s="2">
        <v>0.05</v>
      </c>
      <c r="H33" s="2">
        <v>32</v>
      </c>
      <c r="I33" s="2">
        <v>126</v>
      </c>
      <c r="J33" s="2">
        <v>2</v>
      </c>
      <c r="K33" s="2">
        <v>2</v>
      </c>
      <c r="L33" s="2">
        <v>10</v>
      </c>
      <c r="M33" s="2">
        <v>0</v>
      </c>
      <c r="N33" s="2">
        <v>0</v>
      </c>
      <c r="O33" s="2">
        <v>0</v>
      </c>
      <c r="P33" s="2">
        <v>0</v>
      </c>
      <c r="Q33" s="2">
        <v>2</v>
      </c>
      <c r="R33" s="2">
        <v>0</v>
      </c>
      <c r="S33" s="2">
        <v>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15</v>
      </c>
      <c r="AA33" s="2">
        <v>67</v>
      </c>
      <c r="AB33" s="2">
        <v>0</v>
      </c>
      <c r="AC33" s="2">
        <v>0</v>
      </c>
      <c r="AD33" s="2">
        <v>0</v>
      </c>
      <c r="AE33" s="2">
        <v>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2</v>
      </c>
      <c r="AL33" s="2">
        <v>2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f t="shared" si="0"/>
        <v>144</v>
      </c>
      <c r="AS33" s="2">
        <f t="shared" si="1"/>
        <v>2.166666666666667</v>
      </c>
    </row>
    <row r="34" spans="1:45" x14ac:dyDescent="0.2">
      <c r="A34" t="s">
        <v>38</v>
      </c>
      <c r="B34" t="s">
        <v>19</v>
      </c>
      <c r="C34" s="1">
        <v>43293</v>
      </c>
      <c r="D34">
        <v>1.2600000000000001E-3</v>
      </c>
      <c r="E34">
        <v>16.100000000000001</v>
      </c>
      <c r="F34">
        <f>(1/((2.2+3.6+3.2)/3))/10</f>
        <v>3.3333333333333333E-2</v>
      </c>
      <c r="G34">
        <v>0.04</v>
      </c>
      <c r="H34">
        <v>36</v>
      </c>
      <c r="I34">
        <v>4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63</v>
      </c>
      <c r="AA34">
        <v>28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4</v>
      </c>
      <c r="AH34">
        <v>0</v>
      </c>
      <c r="AI34">
        <v>1</v>
      </c>
      <c r="AJ34">
        <v>1</v>
      </c>
      <c r="AK34">
        <v>11</v>
      </c>
      <c r="AL34">
        <v>93</v>
      </c>
      <c r="AM34">
        <v>0</v>
      </c>
      <c r="AN34">
        <v>0</v>
      </c>
      <c r="AO34">
        <v>0</v>
      </c>
      <c r="AP34">
        <v>1</v>
      </c>
      <c r="AQ34">
        <v>0</v>
      </c>
      <c r="AR34">
        <f t="shared" si="0"/>
        <v>10</v>
      </c>
      <c r="AS34">
        <f t="shared" si="1"/>
        <v>0.1929012345679012</v>
      </c>
    </row>
    <row r="35" spans="1:45" x14ac:dyDescent="0.2">
      <c r="A35" t="s">
        <v>38</v>
      </c>
      <c r="B35" t="s">
        <v>15</v>
      </c>
      <c r="C35" s="1">
        <v>43293</v>
      </c>
      <c r="D35">
        <v>1.2600000000000001E-3</v>
      </c>
      <c r="E35">
        <v>16.600000000000001</v>
      </c>
      <c r="F35">
        <f>(1/3.8)/10</f>
        <v>2.6315789473684209E-2</v>
      </c>
      <c r="G35">
        <v>8.5000000000000006E-2</v>
      </c>
      <c r="H35">
        <v>31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16</v>
      </c>
      <c r="AA35">
        <v>3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5</v>
      </c>
      <c r="AL35">
        <v>8</v>
      </c>
      <c r="AM35">
        <v>1</v>
      </c>
      <c r="AN35">
        <v>0</v>
      </c>
      <c r="AO35">
        <v>0</v>
      </c>
      <c r="AP35">
        <v>4</v>
      </c>
      <c r="AQ35">
        <v>0</v>
      </c>
      <c r="AR35">
        <f t="shared" si="0"/>
        <v>8</v>
      </c>
      <c r="AS35">
        <f t="shared" si="1"/>
        <v>0.10682409164382599</v>
      </c>
    </row>
    <row r="36" spans="1:45" x14ac:dyDescent="0.2">
      <c r="A36" s="2" t="s">
        <v>38</v>
      </c>
      <c r="B36" s="2" t="s">
        <v>15</v>
      </c>
      <c r="C36" s="3">
        <v>43316</v>
      </c>
      <c r="D36" s="2">
        <v>1.2999999999999999E-5</v>
      </c>
      <c r="E36" s="2">
        <v>16.399999999999999</v>
      </c>
      <c r="F36" s="2">
        <f>(1/((2+2.1+2.4)/3))/10</f>
        <v>4.6153846153846156E-2</v>
      </c>
      <c r="G36" s="2">
        <v>0.14000000000000001</v>
      </c>
      <c r="H36" s="2">
        <v>32</v>
      </c>
      <c r="I36" s="2">
        <v>3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3</v>
      </c>
      <c r="Z36" s="2">
        <v>4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3</v>
      </c>
      <c r="AH36" s="2">
        <v>0</v>
      </c>
      <c r="AI36" s="2">
        <v>1</v>
      </c>
      <c r="AJ36" s="2">
        <v>0</v>
      </c>
      <c r="AK36" s="2">
        <v>3</v>
      </c>
      <c r="AL36" s="2">
        <v>6</v>
      </c>
      <c r="AM36" s="2">
        <v>4</v>
      </c>
      <c r="AN36" s="2">
        <v>0</v>
      </c>
      <c r="AO36" s="2">
        <v>0</v>
      </c>
      <c r="AP36" s="2">
        <v>0</v>
      </c>
      <c r="AQ36" s="2">
        <v>0</v>
      </c>
      <c r="AR36" s="2">
        <f t="shared" si="0"/>
        <v>4</v>
      </c>
      <c r="AS36" s="2">
        <f t="shared" si="1"/>
        <v>1.7912257495590826E-2</v>
      </c>
    </row>
    <row r="37" spans="1:45" x14ac:dyDescent="0.2">
      <c r="A37" s="2" t="s">
        <v>38</v>
      </c>
      <c r="B37" s="2" t="s">
        <v>19</v>
      </c>
      <c r="C37" s="3">
        <v>43316</v>
      </c>
      <c r="D37" s="2">
        <v>1.2999999999999999E-5</v>
      </c>
      <c r="E37" s="2">
        <v>15.2</v>
      </c>
      <c r="F37" s="2">
        <f>(1/((2.6+1.9+2.7)/3))/10</f>
        <v>4.1666666666666671E-2</v>
      </c>
      <c r="G37" s="2">
        <v>0.11</v>
      </c>
      <c r="H37" s="2">
        <v>30</v>
      </c>
      <c r="I37" s="2">
        <v>215</v>
      </c>
      <c r="J37" s="2">
        <v>5</v>
      </c>
      <c r="K37" s="2">
        <v>44</v>
      </c>
      <c r="L37" s="2">
        <v>5</v>
      </c>
      <c r="M37" s="2">
        <v>0</v>
      </c>
      <c r="N37" s="2">
        <v>0</v>
      </c>
      <c r="O37" s="2">
        <v>0</v>
      </c>
      <c r="P37" s="2">
        <v>0</v>
      </c>
      <c r="Q37" s="2">
        <v>6</v>
      </c>
      <c r="R37" s="2">
        <v>0</v>
      </c>
      <c r="S37" s="2">
        <v>4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4</v>
      </c>
      <c r="Z37" s="2">
        <v>22</v>
      </c>
      <c r="AA37" s="2">
        <v>70</v>
      </c>
      <c r="AB37" s="2">
        <v>12</v>
      </c>
      <c r="AC37" s="2">
        <v>0</v>
      </c>
      <c r="AD37" s="2">
        <v>0</v>
      </c>
      <c r="AE37" s="2">
        <v>4</v>
      </c>
      <c r="AF37" s="2">
        <v>0</v>
      </c>
      <c r="AG37" s="2">
        <v>2</v>
      </c>
      <c r="AH37" s="2">
        <v>0</v>
      </c>
      <c r="AI37" s="2">
        <v>0</v>
      </c>
      <c r="AJ37" s="2">
        <v>0</v>
      </c>
      <c r="AK37" s="2">
        <v>13</v>
      </c>
      <c r="AL37" s="2">
        <v>27</v>
      </c>
      <c r="AM37" s="2">
        <v>4</v>
      </c>
      <c r="AN37" s="2">
        <v>0</v>
      </c>
      <c r="AO37" s="2">
        <v>0</v>
      </c>
      <c r="AP37" s="2">
        <v>0</v>
      </c>
      <c r="AQ37" s="2">
        <v>0</v>
      </c>
      <c r="AR37" s="2">
        <f t="shared" si="0"/>
        <v>279</v>
      </c>
      <c r="AS37" s="2">
        <f t="shared" si="1"/>
        <v>1.8787878787878782</v>
      </c>
    </row>
    <row r="38" spans="1:45" x14ac:dyDescent="0.2">
      <c r="A38" s="4" t="s">
        <v>59</v>
      </c>
      <c r="B38" s="4" t="s">
        <v>15</v>
      </c>
      <c r="C38" s="5">
        <v>43294</v>
      </c>
      <c r="D38" s="4">
        <f>(0.00082+0.00038)/2</f>
        <v>6.0000000000000006E-4</v>
      </c>
      <c r="E38" s="4">
        <v>19.600000000000001</v>
      </c>
      <c r="F38" s="4">
        <f>(1/((1.9+1.6+1.4)/3))/10</f>
        <v>6.1224489795918359E-2</v>
      </c>
      <c r="G38" s="4">
        <v>7.0000000000000007E-2</v>
      </c>
      <c r="H38" s="4">
        <v>27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">
      <c r="A39" s="4" t="s">
        <v>59</v>
      </c>
      <c r="B39" s="4" t="s">
        <v>19</v>
      </c>
      <c r="C39" s="5">
        <v>43294</v>
      </c>
      <c r="D39" s="4">
        <f>(0.00082+0.00038)/2</f>
        <v>6.0000000000000006E-4</v>
      </c>
      <c r="E39" s="4">
        <v>19</v>
      </c>
      <c r="F39" s="4">
        <f>(1/((1.2+1.2+1)/3))/10</f>
        <v>8.8235294117647051E-2</v>
      </c>
      <c r="G39" s="4">
        <v>7.0000000000000007E-2</v>
      </c>
      <c r="H39" s="4">
        <v>18</v>
      </c>
    </row>
    <row r="40" spans="1:45" x14ac:dyDescent="0.2">
      <c r="A40" s="4" t="s">
        <v>59</v>
      </c>
      <c r="B40" s="4" t="s">
        <v>15</v>
      </c>
      <c r="C40" s="5">
        <v>43317</v>
      </c>
      <c r="D40" s="4">
        <f>(0.00082+0.00038)/2</f>
        <v>6.0000000000000006E-4</v>
      </c>
      <c r="E40" s="4">
        <v>17.8</v>
      </c>
      <c r="F40" s="4">
        <f>(1/((1.3+1.5+1.4)/3))/10</f>
        <v>7.1428571428571438E-2</v>
      </c>
      <c r="G40" s="4">
        <v>7.0000000000000007E-2</v>
      </c>
      <c r="H40" s="4">
        <v>30</v>
      </c>
    </row>
    <row r="41" spans="1:45" x14ac:dyDescent="0.2">
      <c r="A41" s="4" t="s">
        <v>59</v>
      </c>
      <c r="B41" s="4" t="s">
        <v>19</v>
      </c>
      <c r="C41" s="5">
        <v>43317</v>
      </c>
      <c r="D41" s="4">
        <f>(0.00082+0.00038)/2</f>
        <v>6.0000000000000006E-4</v>
      </c>
      <c r="E41" s="4">
        <v>20.5</v>
      </c>
      <c r="F41" s="4">
        <f>(1/((1.7+1.7+1.6)/3))/10</f>
        <v>0.06</v>
      </c>
      <c r="G41" s="4">
        <v>7.0000000000000007E-2</v>
      </c>
      <c r="H41" s="4">
        <v>30</v>
      </c>
    </row>
    <row r="42" spans="1:45" x14ac:dyDescent="0.2">
      <c r="A42" s="4" t="s">
        <v>60</v>
      </c>
      <c r="B42" s="4" t="s">
        <v>15</v>
      </c>
      <c r="C42" s="1">
        <v>43296</v>
      </c>
      <c r="D42" s="4">
        <v>1.2999999999999999E-5</v>
      </c>
      <c r="E42" s="4">
        <v>7.1</v>
      </c>
      <c r="F42" s="4">
        <f>(1/((1+1.2+1.2)/3))/10</f>
        <v>8.8235294117647051E-2</v>
      </c>
      <c r="G42" s="4">
        <v>0.30499999999999999</v>
      </c>
      <c r="H42" s="4">
        <v>20</v>
      </c>
    </row>
    <row r="43" spans="1:45" x14ac:dyDescent="0.2">
      <c r="A43" s="4" t="s">
        <v>60</v>
      </c>
      <c r="B43" s="4" t="s">
        <v>19</v>
      </c>
      <c r="C43" s="1">
        <v>43296</v>
      </c>
      <c r="D43" s="4">
        <v>1.2999999999999999E-5</v>
      </c>
      <c r="E43" s="4">
        <v>6.9</v>
      </c>
      <c r="F43" s="4">
        <f>(1/((1.4+1.8+1.3)/3))/10</f>
        <v>6.6666666666666666E-2</v>
      </c>
      <c r="G43" s="4">
        <v>0.30499999999999999</v>
      </c>
      <c r="H43" s="4">
        <v>11</v>
      </c>
    </row>
    <row r="44" spans="1:45" x14ac:dyDescent="0.2">
      <c r="A44" s="4" t="s">
        <v>60</v>
      </c>
      <c r="B44" s="4" t="s">
        <v>15</v>
      </c>
      <c r="C44" s="1">
        <v>43318</v>
      </c>
      <c r="D44" s="4">
        <v>1.2999999999999999E-5</v>
      </c>
      <c r="E44" s="4">
        <v>8.1</v>
      </c>
      <c r="F44" s="4">
        <f>(1/((1.5+1.4+1.7)/3))/10</f>
        <v>6.5217391304347824E-2</v>
      </c>
      <c r="G44" s="4">
        <v>0.23</v>
      </c>
      <c r="H44" s="4">
        <v>21</v>
      </c>
    </row>
    <row r="45" spans="1:45" x14ac:dyDescent="0.2">
      <c r="A45" s="4" t="s">
        <v>60</v>
      </c>
      <c r="B45" s="4" t="s">
        <v>19</v>
      </c>
      <c r="C45" s="1">
        <v>43318</v>
      </c>
      <c r="D45" s="4">
        <v>1.2999999999999999E-5</v>
      </c>
      <c r="E45" s="4">
        <v>5.7</v>
      </c>
      <c r="F45" s="4">
        <f>(1/((2.5+2.5+2.7)/3))/10</f>
        <v>3.896103896103896E-2</v>
      </c>
      <c r="G45" s="4">
        <v>0.30499999999999999</v>
      </c>
      <c r="H45" s="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814A-64FE-EA42-BA7E-F42C07F4A4C2}">
  <dimension ref="A1:AS45"/>
  <sheetViews>
    <sheetView workbookViewId="0">
      <pane ySplit="1" topLeftCell="A15" activePane="bottomLeft" state="frozen"/>
      <selection pane="bottomLeft" activeCell="AS1" sqref="A1:AS45"/>
    </sheetView>
  </sheetViews>
  <sheetFormatPr baseColWidth="10" defaultRowHeight="16" x14ac:dyDescent="0.2"/>
  <cols>
    <col min="7" max="7" width="11.1640625" bestFit="1" customWidth="1"/>
  </cols>
  <sheetData>
    <row r="1" spans="1:45" x14ac:dyDescent="0.2">
      <c r="A1" t="s">
        <v>0</v>
      </c>
      <c r="B1" t="s">
        <v>4</v>
      </c>
      <c r="C1" t="s">
        <v>16</v>
      </c>
      <c r="D1" t="s">
        <v>1</v>
      </c>
      <c r="E1" t="s">
        <v>2</v>
      </c>
      <c r="F1" t="s">
        <v>3</v>
      </c>
      <c r="G1" t="s">
        <v>41</v>
      </c>
      <c r="H1" t="s">
        <v>40</v>
      </c>
      <c r="I1" t="s">
        <v>5</v>
      </c>
      <c r="J1" t="s">
        <v>6</v>
      </c>
      <c r="K1" t="s">
        <v>7</v>
      </c>
      <c r="L1" t="s">
        <v>8</v>
      </c>
      <c r="M1" t="s">
        <v>35</v>
      </c>
      <c r="N1" t="s">
        <v>47</v>
      </c>
      <c r="O1" t="s">
        <v>51</v>
      </c>
      <c r="P1" t="s">
        <v>49</v>
      </c>
      <c r="Q1" t="s">
        <v>9</v>
      </c>
      <c r="R1" t="s">
        <v>52</v>
      </c>
      <c r="S1" t="s">
        <v>10</v>
      </c>
      <c r="T1" t="s">
        <v>36</v>
      </c>
      <c r="U1" t="s">
        <v>45</v>
      </c>
      <c r="V1" t="s">
        <v>11</v>
      </c>
      <c r="W1" t="s">
        <v>57</v>
      </c>
      <c r="X1" t="s">
        <v>28</v>
      </c>
      <c r="Y1" t="s">
        <v>12</v>
      </c>
      <c r="Z1" t="s">
        <v>13</v>
      </c>
      <c r="AA1" t="s">
        <v>14</v>
      </c>
      <c r="AB1" t="s">
        <v>39</v>
      </c>
      <c r="AC1" t="s">
        <v>27</v>
      </c>
      <c r="AD1" t="s">
        <v>53</v>
      </c>
      <c r="AE1" t="s">
        <v>20</v>
      </c>
      <c r="AF1" t="s">
        <v>54</v>
      </c>
      <c r="AG1" t="s">
        <v>17</v>
      </c>
      <c r="AH1" t="s">
        <v>21</v>
      </c>
      <c r="AI1" t="s">
        <v>22</v>
      </c>
      <c r="AJ1" t="s">
        <v>33</v>
      </c>
      <c r="AK1" t="s">
        <v>23</v>
      </c>
      <c r="AL1" t="s">
        <v>58</v>
      </c>
      <c r="AM1" t="s">
        <v>24</v>
      </c>
      <c r="AN1" t="s">
        <v>34</v>
      </c>
      <c r="AO1" t="s">
        <v>46</v>
      </c>
      <c r="AP1" t="s">
        <v>29</v>
      </c>
      <c r="AQ1" t="s">
        <v>31</v>
      </c>
      <c r="AR1" t="s">
        <v>30</v>
      </c>
      <c r="AS1" t="s">
        <v>42</v>
      </c>
    </row>
    <row r="2" spans="1:45" s="2" customFormat="1" x14ac:dyDescent="0.2">
      <c r="A2" s="2" t="s">
        <v>44</v>
      </c>
      <c r="B2" s="2" t="s">
        <v>15</v>
      </c>
      <c r="C2" s="3">
        <v>43297</v>
      </c>
      <c r="D2" s="2">
        <v>1.2999999999999999E-5</v>
      </c>
      <c r="E2" s="2">
        <v>19.5</v>
      </c>
      <c r="F2" s="2">
        <f>(1/((1.6+1.9+1.7)/3))/10</f>
        <v>5.7692307692307689E-2</v>
      </c>
      <c r="G2" s="2">
        <v>0.1</v>
      </c>
      <c r="H2" s="2">
        <v>33</v>
      </c>
      <c r="I2" s="2">
        <v>5</v>
      </c>
      <c r="J2" s="2">
        <v>2</v>
      </c>
      <c r="K2" s="2">
        <v>0</v>
      </c>
      <c r="L2" s="2">
        <v>0</v>
      </c>
      <c r="M2" s="2">
        <v>5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2</v>
      </c>
      <c r="V2" s="2">
        <v>0</v>
      </c>
      <c r="W2" s="2">
        <v>0</v>
      </c>
      <c r="X2" s="2">
        <v>0</v>
      </c>
      <c r="Y2" s="2">
        <v>6</v>
      </c>
      <c r="Z2" s="2">
        <v>4</v>
      </c>
      <c r="AA2" s="2">
        <v>15</v>
      </c>
      <c r="AB2" s="2">
        <v>0</v>
      </c>
      <c r="AC2" s="2">
        <v>0</v>
      </c>
      <c r="AD2" s="2">
        <v>0</v>
      </c>
      <c r="AE2" s="2">
        <v>3</v>
      </c>
      <c r="AF2" s="2">
        <v>0</v>
      </c>
      <c r="AG2" s="2">
        <v>1</v>
      </c>
      <c r="AH2" s="2">
        <v>0</v>
      </c>
      <c r="AI2" s="2">
        <v>1</v>
      </c>
      <c r="AJ2" s="2">
        <v>1</v>
      </c>
      <c r="AK2" s="2">
        <v>2</v>
      </c>
      <c r="AL2" s="2">
        <v>4</v>
      </c>
      <c r="AM2" s="2">
        <v>7</v>
      </c>
      <c r="AN2" s="2">
        <v>0</v>
      </c>
      <c r="AO2" s="2">
        <v>0</v>
      </c>
      <c r="AP2" s="2">
        <v>10</v>
      </c>
      <c r="AQ2" s="2">
        <v>0</v>
      </c>
      <c r="AR2" s="2">
        <f t="shared" ref="AR2:AR37" si="0">I2+J2+K2+L2+M2+N2+O2+Q2+P2+R2+S2+T2+V2+X2</f>
        <v>13</v>
      </c>
      <c r="AS2" s="2">
        <f t="shared" ref="AS2:AS37" si="1">(AR2*100)/(H2*30*G2*F2*3600)</f>
        <v>6.3224841002618798E-2</v>
      </c>
    </row>
    <row r="3" spans="1:45" s="2" customFormat="1" x14ac:dyDescent="0.2">
      <c r="A3" s="2" t="s">
        <v>44</v>
      </c>
      <c r="B3" s="2" t="s">
        <v>19</v>
      </c>
      <c r="C3" s="3">
        <v>43297</v>
      </c>
      <c r="D3" s="2">
        <v>1.2999999999999999E-5</v>
      </c>
      <c r="E3" s="2">
        <v>21.8</v>
      </c>
      <c r="F3" s="2">
        <f>(1/((1.8+2.1+1.7)/3))/10</f>
        <v>5.3571428571428562E-2</v>
      </c>
      <c r="G3" s="2">
        <v>0.13</v>
      </c>
      <c r="H3" s="2">
        <v>28</v>
      </c>
      <c r="I3" s="2">
        <v>44</v>
      </c>
      <c r="J3" s="2">
        <v>2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4</v>
      </c>
      <c r="Q3" s="2">
        <v>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13</v>
      </c>
      <c r="Z3" s="2">
        <v>15</v>
      </c>
      <c r="AA3" s="2">
        <v>13</v>
      </c>
      <c r="AB3" s="2">
        <v>0</v>
      </c>
      <c r="AC3" s="2">
        <v>0</v>
      </c>
      <c r="AD3" s="2">
        <v>0</v>
      </c>
      <c r="AE3" s="2">
        <v>5</v>
      </c>
      <c r="AF3" s="2">
        <v>1</v>
      </c>
      <c r="AG3" s="2">
        <v>3</v>
      </c>
      <c r="AH3" s="2">
        <v>0</v>
      </c>
      <c r="AI3" s="2">
        <v>0</v>
      </c>
      <c r="AJ3" s="2">
        <v>0</v>
      </c>
      <c r="AK3" s="2">
        <v>24</v>
      </c>
      <c r="AL3" s="2">
        <v>9</v>
      </c>
      <c r="AM3" s="2">
        <v>3</v>
      </c>
      <c r="AN3" s="2">
        <v>0</v>
      </c>
      <c r="AO3" s="2">
        <v>0</v>
      </c>
      <c r="AP3" s="2">
        <v>6</v>
      </c>
      <c r="AQ3" s="2">
        <v>2</v>
      </c>
      <c r="AR3" s="2">
        <f t="shared" si="0"/>
        <v>53</v>
      </c>
      <c r="AS3" s="2">
        <f t="shared" si="1"/>
        <v>0.25166191832858503</v>
      </c>
    </row>
    <row r="4" spans="1:45" s="4" customFormat="1" x14ac:dyDescent="0.2">
      <c r="A4" s="4" t="s">
        <v>44</v>
      </c>
      <c r="B4" s="4" t="s">
        <v>15</v>
      </c>
      <c r="C4" s="5">
        <v>43319</v>
      </c>
      <c r="D4">
        <v>1.2999999999999999E-5</v>
      </c>
      <c r="E4" s="4">
        <v>20.7</v>
      </c>
      <c r="F4">
        <f>(1/((3.2+3.4+2.5)/3))/10</f>
        <v>3.2967032967032968E-2</v>
      </c>
      <c r="G4" s="4">
        <v>0.14000000000000001</v>
      </c>
      <c r="H4" s="4">
        <v>30</v>
      </c>
    </row>
    <row r="5" spans="1:45" s="4" customFormat="1" x14ac:dyDescent="0.2">
      <c r="A5" s="4" t="s">
        <v>44</v>
      </c>
      <c r="B5" s="4" t="s">
        <v>19</v>
      </c>
      <c r="C5" s="5">
        <v>43319</v>
      </c>
      <c r="D5">
        <v>1.2999999999999999E-5</v>
      </c>
      <c r="E5" s="4">
        <v>21.6</v>
      </c>
      <c r="F5">
        <f>(1/((3.8+3.4+3.6)/3))/10</f>
        <v>2.777777777777778E-2</v>
      </c>
      <c r="G5" s="4">
        <v>0.1</v>
      </c>
      <c r="H5" s="4">
        <v>31</v>
      </c>
    </row>
    <row r="6" spans="1:45" x14ac:dyDescent="0.2">
      <c r="A6" t="s">
        <v>48</v>
      </c>
      <c r="B6" t="s">
        <v>15</v>
      </c>
      <c r="C6" s="1">
        <v>43292</v>
      </c>
      <c r="D6">
        <v>3.0500000000000002E-3</v>
      </c>
      <c r="E6">
        <v>17.2</v>
      </c>
      <c r="F6">
        <f>(1/((1.8+1.4+1.4)/3))/10</f>
        <v>6.5217391304347824E-2</v>
      </c>
      <c r="G6">
        <v>0.16</v>
      </c>
      <c r="H6">
        <v>30</v>
      </c>
    </row>
    <row r="7" spans="1:45" x14ac:dyDescent="0.2">
      <c r="A7" t="s">
        <v>48</v>
      </c>
      <c r="B7" t="s">
        <v>19</v>
      </c>
      <c r="C7" s="1">
        <v>43292</v>
      </c>
      <c r="D7">
        <v>3.0500000000000002E-3</v>
      </c>
      <c r="E7">
        <v>18.8</v>
      </c>
      <c r="F7">
        <f>(1/((1.1+1.2+1.4)/3))/10</f>
        <v>8.1081081081081099E-2</v>
      </c>
      <c r="G7">
        <v>0.14000000000000001</v>
      </c>
      <c r="H7">
        <v>17</v>
      </c>
    </row>
    <row r="8" spans="1:45" x14ac:dyDescent="0.2">
      <c r="A8" t="s">
        <v>48</v>
      </c>
      <c r="B8" t="s">
        <v>15</v>
      </c>
      <c r="C8" s="1">
        <v>43315</v>
      </c>
      <c r="D8">
        <v>3.0500000000000002E-3</v>
      </c>
      <c r="E8">
        <v>18.2</v>
      </c>
      <c r="F8">
        <f>(1/((1+1.1+1)/3))/10</f>
        <v>9.6774193548387094E-2</v>
      </c>
      <c r="G8">
        <v>0.22</v>
      </c>
      <c r="H8">
        <v>20</v>
      </c>
      <c r="I8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20</v>
      </c>
      <c r="AA8">
        <v>11</v>
      </c>
      <c r="AB8">
        <v>0</v>
      </c>
      <c r="AC8">
        <v>0</v>
      </c>
      <c r="AD8">
        <v>0</v>
      </c>
      <c r="AE8">
        <v>2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19</v>
      </c>
      <c r="AQ8">
        <v>0</v>
      </c>
      <c r="AR8">
        <f t="shared" ref="AR8" si="2">I8+J8+K8+L8+M8+N8+O8+Q8+P8+R8+S8+T8+V8+X8</f>
        <v>17</v>
      </c>
      <c r="AS8">
        <f t="shared" ref="AS8" si="3">(AR8*100)/(H8*30*G8*F8*3600)</f>
        <v>3.6966891133557805E-2</v>
      </c>
    </row>
    <row r="9" spans="1:45" x14ac:dyDescent="0.2">
      <c r="A9" t="s">
        <v>48</v>
      </c>
      <c r="B9" t="s">
        <v>19</v>
      </c>
      <c r="C9" s="1">
        <v>43315</v>
      </c>
      <c r="D9">
        <v>3.0500000000000002E-3</v>
      </c>
      <c r="E9">
        <v>18.2</v>
      </c>
      <c r="F9">
        <f>(1/((1+0.9+1.1)/3))/10</f>
        <v>0.1</v>
      </c>
      <c r="G9">
        <v>0.18</v>
      </c>
      <c r="H9">
        <v>21</v>
      </c>
      <c r="I9">
        <v>120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Z9">
        <v>36</v>
      </c>
      <c r="AA9">
        <v>38</v>
      </c>
      <c r="AB9">
        <v>0</v>
      </c>
      <c r="AC9">
        <v>0</v>
      </c>
      <c r="AD9">
        <v>0</v>
      </c>
      <c r="AE9">
        <v>17</v>
      </c>
      <c r="AF9">
        <v>2</v>
      </c>
      <c r="AG9">
        <v>4</v>
      </c>
      <c r="AH9">
        <v>0</v>
      </c>
      <c r="AI9">
        <v>0</v>
      </c>
      <c r="AJ9">
        <v>2</v>
      </c>
      <c r="AK9">
        <v>28</v>
      </c>
      <c r="AL9">
        <v>6</v>
      </c>
      <c r="AM9">
        <v>2</v>
      </c>
      <c r="AN9">
        <v>0</v>
      </c>
      <c r="AO9">
        <v>0</v>
      </c>
      <c r="AP9">
        <v>4</v>
      </c>
      <c r="AQ9">
        <v>5</v>
      </c>
      <c r="AR9">
        <f t="shared" si="0"/>
        <v>122</v>
      </c>
      <c r="AS9">
        <f t="shared" si="1"/>
        <v>0.2988438173623359</v>
      </c>
    </row>
    <row r="10" spans="1:45" x14ac:dyDescent="0.2">
      <c r="A10" t="s">
        <v>37</v>
      </c>
      <c r="B10" t="s">
        <v>15</v>
      </c>
      <c r="C10" s="1">
        <v>43291</v>
      </c>
      <c r="D10">
        <v>0.23899999999999999</v>
      </c>
      <c r="E10">
        <v>22.1</v>
      </c>
      <c r="F10">
        <f>(1/((2.6+2.7+4)/3))/10</f>
        <v>3.2258064516129031E-2</v>
      </c>
      <c r="G10">
        <v>3.5000000000000003E-2</v>
      </c>
      <c r="H10">
        <v>86</v>
      </c>
    </row>
    <row r="11" spans="1:45" x14ac:dyDescent="0.2">
      <c r="A11" t="s">
        <v>37</v>
      </c>
      <c r="B11" t="s">
        <v>19</v>
      </c>
      <c r="C11" s="1">
        <v>43291</v>
      </c>
      <c r="D11">
        <v>0.23899999999999999</v>
      </c>
      <c r="E11">
        <v>17.7</v>
      </c>
      <c r="F11">
        <f>(1/((3.8+3.8+3.6)/3))/10</f>
        <v>2.6785714285714291E-2</v>
      </c>
      <c r="G11">
        <v>0.04</v>
      </c>
      <c r="H11">
        <v>63</v>
      </c>
      <c r="I11">
        <v>33</v>
      </c>
      <c r="J11">
        <v>2</v>
      </c>
      <c r="K11">
        <v>0</v>
      </c>
      <c r="L11">
        <v>0</v>
      </c>
      <c r="M11">
        <v>0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v>6</v>
      </c>
      <c r="Z11">
        <v>15</v>
      </c>
      <c r="AA11">
        <v>6</v>
      </c>
      <c r="AB11">
        <v>0</v>
      </c>
      <c r="AC11">
        <v>0</v>
      </c>
      <c r="AD11">
        <v>0</v>
      </c>
      <c r="AE11">
        <v>14</v>
      </c>
      <c r="AF11">
        <v>0</v>
      </c>
      <c r="AG11">
        <v>29</v>
      </c>
      <c r="AH11">
        <v>0</v>
      </c>
      <c r="AI11">
        <v>3</v>
      </c>
      <c r="AJ11">
        <v>1</v>
      </c>
      <c r="AK11">
        <v>14</v>
      </c>
      <c r="AL11">
        <v>68</v>
      </c>
      <c r="AM11">
        <v>49</v>
      </c>
      <c r="AN11">
        <v>15</v>
      </c>
      <c r="AO11">
        <v>0</v>
      </c>
      <c r="AP11">
        <v>10</v>
      </c>
      <c r="AQ11">
        <v>4</v>
      </c>
      <c r="AR11">
        <f t="shared" si="0"/>
        <v>48</v>
      </c>
      <c r="AS11">
        <f t="shared" si="1"/>
        <v>0.65843621399176933</v>
      </c>
    </row>
    <row r="12" spans="1:45" s="2" customFormat="1" x14ac:dyDescent="0.2">
      <c r="A12" s="2" t="s">
        <v>37</v>
      </c>
      <c r="B12" s="2" t="s">
        <v>19</v>
      </c>
      <c r="C12" s="3">
        <v>43314</v>
      </c>
      <c r="D12" s="2">
        <v>2.1999999999999999E-2</v>
      </c>
      <c r="E12" s="2">
        <v>19.2</v>
      </c>
      <c r="F12" s="2">
        <f>(1/((2.4+3+2.7)/3))/10</f>
        <v>3.7037037037037028E-2</v>
      </c>
      <c r="G12" s="2">
        <v>0.14000000000000001</v>
      </c>
      <c r="H12" s="2">
        <v>45</v>
      </c>
      <c r="I12" s="2">
        <v>14</v>
      </c>
      <c r="J12" s="2">
        <v>0</v>
      </c>
      <c r="K12" s="2">
        <v>1</v>
      </c>
      <c r="L12" s="2">
        <v>0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4</v>
      </c>
      <c r="Y12" s="2">
        <v>0</v>
      </c>
      <c r="Z12" s="2">
        <v>75</v>
      </c>
      <c r="AA12" s="2">
        <v>6</v>
      </c>
      <c r="AB12" s="2">
        <v>0</v>
      </c>
      <c r="AC12" s="2">
        <v>0</v>
      </c>
      <c r="AD12" s="2">
        <v>0</v>
      </c>
      <c r="AE12" s="2">
        <v>7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12</v>
      </c>
      <c r="AL12" s="2">
        <v>18</v>
      </c>
      <c r="AM12" s="2">
        <v>3</v>
      </c>
      <c r="AN12" s="2">
        <v>1</v>
      </c>
      <c r="AO12" s="2">
        <v>0</v>
      </c>
      <c r="AP12" s="2">
        <v>4</v>
      </c>
      <c r="AQ12" s="2">
        <v>0</v>
      </c>
      <c r="AR12" s="2">
        <f t="shared" si="0"/>
        <v>21</v>
      </c>
      <c r="AS12" s="2">
        <f t="shared" si="1"/>
        <v>8.3333333333333343E-2</v>
      </c>
    </row>
    <row r="13" spans="1:45" s="2" customFormat="1" x14ac:dyDescent="0.2">
      <c r="A13" s="2" t="s">
        <v>37</v>
      </c>
      <c r="B13" s="2" t="s">
        <v>15</v>
      </c>
      <c r="C13" s="3">
        <v>43314</v>
      </c>
      <c r="D13" s="2">
        <v>2.1999999999999999E-2</v>
      </c>
      <c r="E13" s="2">
        <v>19.2</v>
      </c>
      <c r="F13" s="2">
        <f>(1/((1.9+1.6+1.8)/3))/10</f>
        <v>5.6603773584905662E-2</v>
      </c>
      <c r="G13" s="2">
        <v>7.0000000000000007E-2</v>
      </c>
      <c r="H13" s="2">
        <v>31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2</v>
      </c>
      <c r="AH13" s="2">
        <v>0</v>
      </c>
      <c r="AI13" s="2">
        <v>0</v>
      </c>
      <c r="AJ13" s="2">
        <v>2</v>
      </c>
      <c r="AK13" s="2">
        <v>2</v>
      </c>
      <c r="AL13" s="2">
        <v>9</v>
      </c>
      <c r="AM13" s="2">
        <v>5</v>
      </c>
      <c r="AN13" s="2">
        <v>0</v>
      </c>
      <c r="AO13" s="2">
        <v>0</v>
      </c>
      <c r="AP13" s="2">
        <v>1</v>
      </c>
      <c r="AQ13" s="2">
        <v>0</v>
      </c>
      <c r="AR13" s="2">
        <f t="shared" si="0"/>
        <v>1</v>
      </c>
      <c r="AS13" s="2">
        <f t="shared" si="1"/>
        <v>7.5382602264322685E-3</v>
      </c>
    </row>
    <row r="14" spans="1:45" s="4" customFormat="1" x14ac:dyDescent="0.2">
      <c r="A14" t="s">
        <v>32</v>
      </c>
      <c r="B14" t="s">
        <v>19</v>
      </c>
      <c r="C14" s="1">
        <v>43294</v>
      </c>
      <c r="D14">
        <v>8.7000000000000001E-4</v>
      </c>
      <c r="E14">
        <v>23.9</v>
      </c>
      <c r="F14">
        <f>(1/((1.2+1.4+1.1)/3))/10</f>
        <v>8.1081081081081099E-2</v>
      </c>
      <c r="G14">
        <v>0.13</v>
      </c>
      <c r="H14">
        <v>30</v>
      </c>
    </row>
    <row r="15" spans="1:45" x14ac:dyDescent="0.2">
      <c r="A15" t="s">
        <v>32</v>
      </c>
      <c r="B15" t="s">
        <v>15</v>
      </c>
      <c r="C15" s="1">
        <v>43294</v>
      </c>
      <c r="D15">
        <v>8.7000000000000001E-4</v>
      </c>
      <c r="E15">
        <v>23.7</v>
      </c>
      <c r="F15">
        <f>(1/((1.7+1.4+1.1)/3))/10</f>
        <v>7.1428571428571438E-2</v>
      </c>
      <c r="G15">
        <v>0.1</v>
      </c>
      <c r="H15">
        <v>30</v>
      </c>
      <c r="I15">
        <v>23</v>
      </c>
      <c r="J15">
        <v>2</v>
      </c>
      <c r="K15">
        <v>0</v>
      </c>
      <c r="L15">
        <v>0</v>
      </c>
      <c r="M15">
        <v>1</v>
      </c>
      <c r="N15">
        <v>3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8</v>
      </c>
      <c r="Z15">
        <v>46</v>
      </c>
      <c r="AA15">
        <v>5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1</v>
      </c>
      <c r="AK15">
        <v>76</v>
      </c>
      <c r="AL15">
        <v>108</v>
      </c>
      <c r="AM15">
        <v>2</v>
      </c>
      <c r="AN15">
        <v>2</v>
      </c>
      <c r="AO15">
        <v>2</v>
      </c>
      <c r="AP15">
        <v>27</v>
      </c>
      <c r="AQ15">
        <v>0</v>
      </c>
      <c r="AR15">
        <f t="shared" si="0"/>
        <v>31</v>
      </c>
      <c r="AS15">
        <f t="shared" si="1"/>
        <v>0.13395061728395058</v>
      </c>
    </row>
    <row r="16" spans="1:45" s="2" customFormat="1" x14ac:dyDescent="0.2">
      <c r="A16" s="2" t="s">
        <v>32</v>
      </c>
      <c r="B16" s="2" t="s">
        <v>15</v>
      </c>
      <c r="C16" s="3">
        <v>43317</v>
      </c>
      <c r="D16" s="2">
        <v>7.2499999999999995E-4</v>
      </c>
      <c r="E16" s="2">
        <v>21.9</v>
      </c>
      <c r="F16" s="2">
        <f>(1/((1.3+1.4+1.1)/3))/10</f>
        <v>7.8947368421052627E-2</v>
      </c>
      <c r="G16" s="2">
        <v>0.13</v>
      </c>
      <c r="H16" s="2">
        <v>30</v>
      </c>
      <c r="I16" s="2">
        <v>9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3</v>
      </c>
      <c r="Z16" s="2">
        <v>0</v>
      </c>
      <c r="AA16" s="2">
        <v>13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1</v>
      </c>
      <c r="AK16" s="2">
        <v>3</v>
      </c>
      <c r="AL16" s="2">
        <v>5</v>
      </c>
      <c r="AM16" s="2">
        <v>7</v>
      </c>
      <c r="AN16" s="2">
        <v>0</v>
      </c>
      <c r="AO16" s="2">
        <v>0</v>
      </c>
      <c r="AP16" s="2">
        <v>0</v>
      </c>
      <c r="AQ16" s="2">
        <v>0</v>
      </c>
      <c r="AR16" s="2">
        <f t="shared" si="0"/>
        <v>10</v>
      </c>
      <c r="AS16" s="2">
        <f t="shared" si="1"/>
        <v>3.007280785058563E-2</v>
      </c>
    </row>
    <row r="17" spans="1:45" s="2" customFormat="1" x14ac:dyDescent="0.2">
      <c r="A17" s="2" t="s">
        <v>32</v>
      </c>
      <c r="B17" s="2" t="s">
        <v>19</v>
      </c>
      <c r="C17" s="3">
        <v>43317</v>
      </c>
      <c r="D17" s="2">
        <v>7.2499999999999995E-4</v>
      </c>
      <c r="E17" s="2">
        <v>24.7</v>
      </c>
      <c r="F17" s="2">
        <f>(1/((1.5+1.7+1.4)/3))/10</f>
        <v>6.5217391304347824E-2</v>
      </c>
      <c r="G17" s="2">
        <v>0.19</v>
      </c>
      <c r="H17" s="2">
        <v>32</v>
      </c>
      <c r="I17" s="2">
        <v>18</v>
      </c>
      <c r="J17" s="2">
        <v>18</v>
      </c>
      <c r="K17" s="2">
        <v>0</v>
      </c>
      <c r="L17" s="2">
        <v>3</v>
      </c>
      <c r="M17" s="2">
        <v>23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16</v>
      </c>
      <c r="W17" s="2">
        <v>0</v>
      </c>
      <c r="X17" s="2">
        <v>0</v>
      </c>
      <c r="Y17" s="2">
        <v>55</v>
      </c>
      <c r="Z17" s="2">
        <v>41</v>
      </c>
      <c r="AA17" s="2">
        <v>8</v>
      </c>
      <c r="AB17" s="2">
        <v>0</v>
      </c>
      <c r="AC17" s="2">
        <v>0</v>
      </c>
      <c r="AD17" s="2">
        <v>0</v>
      </c>
      <c r="AE17" s="2">
        <v>253</v>
      </c>
      <c r="AF17" s="2">
        <v>0</v>
      </c>
      <c r="AG17" s="2">
        <v>0</v>
      </c>
      <c r="AH17" s="2">
        <v>0</v>
      </c>
      <c r="AI17" s="2">
        <v>0</v>
      </c>
      <c r="AJ17" s="2">
        <v>4</v>
      </c>
      <c r="AK17" s="2">
        <v>7</v>
      </c>
      <c r="AL17" s="2">
        <v>3</v>
      </c>
      <c r="AM17" s="2">
        <v>3</v>
      </c>
      <c r="AN17" s="2">
        <v>0</v>
      </c>
      <c r="AO17" s="2">
        <v>0</v>
      </c>
      <c r="AP17" s="2">
        <v>0</v>
      </c>
      <c r="AQ17" s="2">
        <v>0</v>
      </c>
      <c r="AR17" s="2">
        <f t="shared" si="0"/>
        <v>79</v>
      </c>
      <c r="AS17" s="2">
        <f t="shared" si="1"/>
        <v>0.1844744964262508</v>
      </c>
    </row>
    <row r="18" spans="1:45" x14ac:dyDescent="0.2">
      <c r="A18" t="s">
        <v>50</v>
      </c>
      <c r="B18" t="s">
        <v>15</v>
      </c>
      <c r="C18" s="1">
        <v>43297</v>
      </c>
      <c r="D18">
        <v>1.2999999999999999E-5</v>
      </c>
      <c r="E18">
        <v>17.399999999999999</v>
      </c>
      <c r="F18">
        <f>(1/((1.7+1.7+2.1)/3))/10</f>
        <v>5.454545454545455E-2</v>
      </c>
      <c r="G18">
        <v>0.30499999999999999</v>
      </c>
      <c r="H18">
        <v>29</v>
      </c>
      <c r="I18">
        <v>16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2</v>
      </c>
      <c r="Z18">
        <v>26</v>
      </c>
      <c r="AA18">
        <v>1</v>
      </c>
      <c r="AB18">
        <v>1</v>
      </c>
      <c r="AC18">
        <v>0</v>
      </c>
      <c r="AD18">
        <v>1</v>
      </c>
      <c r="AE18">
        <v>4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3</v>
      </c>
      <c r="AL18">
        <v>4</v>
      </c>
      <c r="AM18">
        <v>3</v>
      </c>
      <c r="AN18">
        <v>0</v>
      </c>
      <c r="AO18">
        <v>0</v>
      </c>
      <c r="AP18">
        <v>10</v>
      </c>
      <c r="AQ18">
        <v>0</v>
      </c>
      <c r="AR18">
        <f t="shared" si="0"/>
        <v>20</v>
      </c>
      <c r="AS18">
        <f t="shared" si="1"/>
        <v>3.8383965272979784E-2</v>
      </c>
    </row>
    <row r="19" spans="1:45" x14ac:dyDescent="0.2">
      <c r="A19" t="s">
        <v>50</v>
      </c>
      <c r="B19" t="s">
        <v>19</v>
      </c>
      <c r="C19" s="1">
        <v>43297</v>
      </c>
      <c r="D19">
        <v>1.2999999999999999E-5</v>
      </c>
      <c r="E19">
        <v>16.899999999999999</v>
      </c>
      <c r="F19">
        <f>(1/((1.9+1.4+2.2)/3))/10</f>
        <v>5.454545454545455E-2</v>
      </c>
      <c r="G19">
        <v>0.27</v>
      </c>
      <c r="H19">
        <v>22</v>
      </c>
    </row>
    <row r="20" spans="1:45" x14ac:dyDescent="0.2">
      <c r="A20" t="s">
        <v>50</v>
      </c>
      <c r="B20" t="s">
        <v>15</v>
      </c>
      <c r="C20" s="1">
        <v>43319</v>
      </c>
      <c r="D20">
        <v>1.2999999999999999E-5</v>
      </c>
      <c r="E20">
        <v>17.3</v>
      </c>
      <c r="F20">
        <f>(1/((1.6+1.7+1.5)/3))/10</f>
        <v>6.25E-2</v>
      </c>
      <c r="G20">
        <v>0.09</v>
      </c>
      <c r="H20">
        <v>30</v>
      </c>
    </row>
    <row r="21" spans="1:45" x14ac:dyDescent="0.2">
      <c r="A21" t="s">
        <v>50</v>
      </c>
      <c r="B21" t="s">
        <v>19</v>
      </c>
      <c r="C21" s="1">
        <v>43319</v>
      </c>
      <c r="D21">
        <v>1.2999999999999999E-5</v>
      </c>
      <c r="E21">
        <v>16.899999999999999</v>
      </c>
      <c r="F21">
        <f>(1/((2.7+2.6+2)/3))/10</f>
        <v>4.1095890410958902E-2</v>
      </c>
      <c r="G21">
        <v>0.24</v>
      </c>
      <c r="H21">
        <v>31</v>
      </c>
      <c r="I21">
        <v>142</v>
      </c>
      <c r="J21">
        <v>5</v>
      </c>
      <c r="K21">
        <v>0</v>
      </c>
      <c r="L21">
        <v>0</v>
      </c>
      <c r="M21">
        <v>0</v>
      </c>
      <c r="N21">
        <v>0</v>
      </c>
      <c r="O21">
        <v>2</v>
      </c>
      <c r="P21">
        <v>11</v>
      </c>
      <c r="Q21">
        <v>2</v>
      </c>
      <c r="R21">
        <v>5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11</v>
      </c>
      <c r="Z21">
        <v>46</v>
      </c>
      <c r="AA21">
        <v>24</v>
      </c>
      <c r="AB21">
        <v>2</v>
      </c>
      <c r="AC21">
        <v>0</v>
      </c>
      <c r="AD21">
        <v>5</v>
      </c>
      <c r="AE21">
        <v>29</v>
      </c>
      <c r="AF21">
        <v>0</v>
      </c>
      <c r="AG21">
        <v>16</v>
      </c>
      <c r="AH21">
        <v>0</v>
      </c>
      <c r="AI21">
        <v>0</v>
      </c>
      <c r="AJ21">
        <v>0</v>
      </c>
      <c r="AK21">
        <v>308</v>
      </c>
      <c r="AL21">
        <v>533</v>
      </c>
      <c r="AM21">
        <v>1</v>
      </c>
      <c r="AN21">
        <v>0</v>
      </c>
      <c r="AO21">
        <v>0</v>
      </c>
      <c r="AP21">
        <v>1</v>
      </c>
      <c r="AQ21">
        <v>0</v>
      </c>
      <c r="AR21">
        <f t="shared" si="0"/>
        <v>168</v>
      </c>
      <c r="AS21">
        <f t="shared" si="1"/>
        <v>0.50876144962166481</v>
      </c>
    </row>
    <row r="22" spans="1:45" x14ac:dyDescent="0.2">
      <c r="A22" t="s">
        <v>25</v>
      </c>
      <c r="B22" t="s">
        <v>19</v>
      </c>
      <c r="C22" s="1">
        <v>43292</v>
      </c>
      <c r="D22">
        <v>8.0999999999999996E-4</v>
      </c>
      <c r="E22">
        <v>21.4</v>
      </c>
      <c r="F22">
        <f>(1/((2.2+2.5+3.2)/3))/10</f>
        <v>3.7974683544303799E-2</v>
      </c>
      <c r="G22">
        <v>0.05</v>
      </c>
      <c r="H22">
        <v>32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Z22">
        <v>8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1</v>
      </c>
      <c r="AJ22">
        <v>1</v>
      </c>
      <c r="AK22">
        <v>14</v>
      </c>
      <c r="AL22">
        <v>19</v>
      </c>
      <c r="AM22">
        <v>1</v>
      </c>
      <c r="AN22">
        <v>1</v>
      </c>
      <c r="AO22">
        <v>0</v>
      </c>
      <c r="AP22">
        <v>1</v>
      </c>
      <c r="AQ22">
        <v>1</v>
      </c>
      <c r="AR22">
        <f t="shared" si="0"/>
        <v>8</v>
      </c>
      <c r="AS22">
        <f t="shared" si="1"/>
        <v>0.12191358024691358</v>
      </c>
    </row>
    <row r="23" spans="1:45" x14ac:dyDescent="0.2">
      <c r="A23" t="s">
        <v>25</v>
      </c>
      <c r="B23" t="s">
        <v>15</v>
      </c>
      <c r="C23" s="1">
        <v>43292</v>
      </c>
      <c r="D23">
        <v>8.0999999999999996E-4</v>
      </c>
      <c r="E23">
        <v>19.5</v>
      </c>
      <c r="F23">
        <f>(1/((2.4+2.6+2.8)/3))/10</f>
        <v>3.8461538461538457E-2</v>
      </c>
      <c r="G23">
        <v>0.05</v>
      </c>
      <c r="H23">
        <v>40</v>
      </c>
      <c r="I23">
        <v>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27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1</v>
      </c>
      <c r="AJ23">
        <v>0</v>
      </c>
      <c r="AK23">
        <v>4</v>
      </c>
      <c r="AL23">
        <v>7</v>
      </c>
      <c r="AM23">
        <v>4</v>
      </c>
      <c r="AN23">
        <v>0</v>
      </c>
      <c r="AO23">
        <v>0</v>
      </c>
      <c r="AP23">
        <v>4</v>
      </c>
      <c r="AQ23">
        <v>0</v>
      </c>
      <c r="AR23">
        <f t="shared" si="0"/>
        <v>11</v>
      </c>
      <c r="AS23">
        <f t="shared" si="1"/>
        <v>0.13240740740740742</v>
      </c>
    </row>
    <row r="24" spans="1:45" s="2" customFormat="1" x14ac:dyDescent="0.2">
      <c r="A24" s="2" t="s">
        <v>25</v>
      </c>
      <c r="B24" s="2" t="s">
        <v>15</v>
      </c>
      <c r="C24" s="3">
        <v>43315</v>
      </c>
      <c r="D24" s="2">
        <v>4.3000000000000002E-5</v>
      </c>
      <c r="E24" s="2">
        <v>21.3</v>
      </c>
      <c r="F24" s="2">
        <f>(1/((1.5+1.6+1.6)/3))/10</f>
        <v>6.3829787234042562E-2</v>
      </c>
      <c r="G24" s="2">
        <v>0.13</v>
      </c>
      <c r="H24" s="2">
        <v>26</v>
      </c>
      <c r="I24" s="2">
        <v>4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23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2</v>
      </c>
      <c r="AH24" s="2">
        <v>0</v>
      </c>
      <c r="AI24" s="2">
        <v>0</v>
      </c>
      <c r="AJ24" s="2">
        <v>0</v>
      </c>
      <c r="AK24" s="2">
        <v>6</v>
      </c>
      <c r="AL24" s="2">
        <v>25</v>
      </c>
      <c r="AM24" s="2">
        <v>1</v>
      </c>
      <c r="AN24" s="2">
        <v>0</v>
      </c>
      <c r="AO24" s="2">
        <v>0</v>
      </c>
      <c r="AP24" s="2">
        <v>0</v>
      </c>
      <c r="AQ24" s="2">
        <v>0</v>
      </c>
      <c r="AR24" s="2">
        <f t="shared" si="0"/>
        <v>5</v>
      </c>
      <c r="AS24" s="2">
        <f t="shared" si="1"/>
        <v>2.1458835561399658E-2</v>
      </c>
    </row>
    <row r="25" spans="1:45" s="2" customFormat="1" x14ac:dyDescent="0.2">
      <c r="A25" s="2" t="s">
        <v>25</v>
      </c>
      <c r="B25" s="2" t="s">
        <v>19</v>
      </c>
      <c r="C25" s="3">
        <v>43315</v>
      </c>
      <c r="D25" s="2">
        <v>4.3000000000000002E-5</v>
      </c>
      <c r="E25" s="2">
        <v>20.2</v>
      </c>
      <c r="F25" s="2">
        <f>(1/((1.4+1.5+1.2)/3))/10</f>
        <v>7.3170731707317083E-2</v>
      </c>
      <c r="G25" s="2">
        <v>0.08</v>
      </c>
      <c r="H25" s="2">
        <v>27</v>
      </c>
      <c r="I25" s="2">
        <v>53</v>
      </c>
      <c r="J25" s="2">
        <v>11</v>
      </c>
      <c r="K25" s="2">
        <v>16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4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6</v>
      </c>
      <c r="Z25" s="2">
        <v>16</v>
      </c>
      <c r="AA25" s="2">
        <v>12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f t="shared" si="0"/>
        <v>84</v>
      </c>
      <c r="AS25" s="2">
        <f t="shared" si="1"/>
        <v>0.49211248285322351</v>
      </c>
    </row>
    <row r="26" spans="1:45" x14ac:dyDescent="0.2">
      <c r="A26" t="s">
        <v>26</v>
      </c>
      <c r="B26" t="s">
        <v>15</v>
      </c>
      <c r="C26" s="1">
        <v>43291</v>
      </c>
      <c r="D26">
        <v>3.9600000000000003E-2</v>
      </c>
      <c r="E26">
        <v>18.600000000000001</v>
      </c>
      <c r="F26">
        <f>(1/((2.2+1.5+1.3)/3))/10</f>
        <v>0.06</v>
      </c>
      <c r="G26">
        <v>0.17</v>
      </c>
      <c r="H26">
        <v>43</v>
      </c>
      <c r="I26">
        <v>16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</v>
      </c>
      <c r="Y26">
        <v>16</v>
      </c>
      <c r="Z26">
        <v>19</v>
      </c>
      <c r="AA26">
        <v>10</v>
      </c>
      <c r="AB26">
        <v>0</v>
      </c>
      <c r="AC26">
        <v>0</v>
      </c>
      <c r="AD26">
        <v>0</v>
      </c>
      <c r="AE26">
        <v>10</v>
      </c>
      <c r="AF26">
        <v>0</v>
      </c>
      <c r="AG26">
        <v>69</v>
      </c>
      <c r="AH26">
        <v>0</v>
      </c>
      <c r="AI26">
        <v>1</v>
      </c>
      <c r="AJ26">
        <v>2</v>
      </c>
      <c r="AK26">
        <v>7</v>
      </c>
      <c r="AL26">
        <v>15</v>
      </c>
      <c r="AM26">
        <v>26</v>
      </c>
      <c r="AN26">
        <v>0</v>
      </c>
      <c r="AO26">
        <v>1</v>
      </c>
      <c r="AP26">
        <v>28</v>
      </c>
      <c r="AQ26">
        <v>0</v>
      </c>
      <c r="AR26">
        <f t="shared" si="0"/>
        <v>21</v>
      </c>
      <c r="AS26">
        <f t="shared" si="1"/>
        <v>4.4332978669503982E-2</v>
      </c>
    </row>
    <row r="27" spans="1:45" x14ac:dyDescent="0.2">
      <c r="A27" t="s">
        <v>26</v>
      </c>
      <c r="B27" t="s">
        <v>19</v>
      </c>
      <c r="C27" s="1">
        <v>43291</v>
      </c>
      <c r="D27">
        <v>3.9600000000000003E-2</v>
      </c>
      <c r="E27">
        <v>18.5</v>
      </c>
      <c r="F27">
        <f>(1/((1.2+1+1.2)/3))/10</f>
        <v>8.8235294117647051E-2</v>
      </c>
      <c r="G27">
        <v>0.1</v>
      </c>
      <c r="H27">
        <v>28</v>
      </c>
      <c r="I27">
        <v>46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5</v>
      </c>
      <c r="AA27">
        <v>11</v>
      </c>
      <c r="AB27">
        <v>0</v>
      </c>
      <c r="AC27">
        <v>2</v>
      </c>
      <c r="AD27">
        <v>0</v>
      </c>
      <c r="AE27">
        <v>9</v>
      </c>
      <c r="AF27">
        <v>0</v>
      </c>
      <c r="AG27">
        <v>13</v>
      </c>
      <c r="AH27">
        <v>0</v>
      </c>
      <c r="AI27">
        <v>1</v>
      </c>
      <c r="AJ27">
        <v>5</v>
      </c>
      <c r="AK27">
        <v>10</v>
      </c>
      <c r="AL27">
        <v>34</v>
      </c>
      <c r="AM27">
        <v>4</v>
      </c>
      <c r="AN27">
        <v>3</v>
      </c>
      <c r="AO27">
        <v>1</v>
      </c>
      <c r="AP27">
        <v>2</v>
      </c>
      <c r="AQ27">
        <v>17</v>
      </c>
      <c r="AR27">
        <f t="shared" si="0"/>
        <v>47</v>
      </c>
      <c r="AS27">
        <f t="shared" si="1"/>
        <v>0.17614638447971784</v>
      </c>
    </row>
    <row r="28" spans="1:45" s="2" customFormat="1" x14ac:dyDescent="0.2">
      <c r="A28" s="2" t="s">
        <v>26</v>
      </c>
      <c r="B28" s="2" t="s">
        <v>15</v>
      </c>
      <c r="C28" s="3">
        <v>43314</v>
      </c>
      <c r="D28" s="2">
        <v>1.15E-2</v>
      </c>
      <c r="E28" s="2">
        <v>19.100000000000001</v>
      </c>
      <c r="F28" s="2">
        <f>(1/((1.3+1.1+1.1)/3))/10</f>
        <v>8.5714285714285715E-2</v>
      </c>
      <c r="G28" s="2">
        <v>0.16</v>
      </c>
      <c r="H28" s="2">
        <v>25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2</v>
      </c>
      <c r="Y28" s="2">
        <v>1</v>
      </c>
      <c r="Z28" s="2">
        <v>0</v>
      </c>
      <c r="AA28" s="2">
        <v>0</v>
      </c>
      <c r="AB28" s="2">
        <v>0</v>
      </c>
      <c r="AC28" s="2">
        <v>3</v>
      </c>
      <c r="AD28" s="2">
        <v>0</v>
      </c>
      <c r="AE28" s="2">
        <v>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4</v>
      </c>
      <c r="AM28" s="2">
        <v>0</v>
      </c>
      <c r="AN28" s="2">
        <v>1</v>
      </c>
      <c r="AO28" s="2">
        <v>1</v>
      </c>
      <c r="AP28" s="2">
        <v>0</v>
      </c>
      <c r="AQ28" s="2">
        <v>0</v>
      </c>
      <c r="AR28" s="2">
        <f t="shared" si="0"/>
        <v>4</v>
      </c>
      <c r="AS28" s="2">
        <f t="shared" si="1"/>
        <v>1.0802469135802467E-2</v>
      </c>
    </row>
    <row r="29" spans="1:45" s="2" customFormat="1" x14ac:dyDescent="0.2">
      <c r="A29" s="2" t="s">
        <v>26</v>
      </c>
      <c r="B29" s="2" t="s">
        <v>19</v>
      </c>
      <c r="C29" s="3">
        <v>43314</v>
      </c>
      <c r="D29" s="2">
        <v>1.15E-2</v>
      </c>
      <c r="E29" s="2">
        <v>18.899999999999999</v>
      </c>
      <c r="F29" s="2">
        <f>(1/((1+1.2+1.2)/3))/10</f>
        <v>8.8235294117647051E-2</v>
      </c>
      <c r="G29" s="2">
        <v>0.22</v>
      </c>
      <c r="H29" s="2">
        <v>19</v>
      </c>
      <c r="I29" s="2">
        <v>115</v>
      </c>
      <c r="J29" s="2">
        <v>3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15</v>
      </c>
      <c r="Y29" s="2">
        <v>1</v>
      </c>
      <c r="Z29" s="2">
        <v>8</v>
      </c>
      <c r="AA29" s="2">
        <v>9</v>
      </c>
      <c r="AB29" s="2">
        <v>0</v>
      </c>
      <c r="AC29" s="2">
        <v>1</v>
      </c>
      <c r="AD29" s="2">
        <v>0</v>
      </c>
      <c r="AE29" s="2">
        <v>33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2">
        <v>7</v>
      </c>
      <c r="AL29" s="2">
        <v>8</v>
      </c>
      <c r="AM29" s="2">
        <v>0</v>
      </c>
      <c r="AN29" s="2">
        <v>0</v>
      </c>
      <c r="AO29" s="2">
        <v>0</v>
      </c>
      <c r="AP29" s="2">
        <v>1</v>
      </c>
      <c r="AQ29" s="2">
        <v>1</v>
      </c>
      <c r="AR29" s="2">
        <f t="shared" si="0"/>
        <v>133</v>
      </c>
      <c r="AS29" s="2">
        <f t="shared" si="1"/>
        <v>0.33389450056116726</v>
      </c>
    </row>
    <row r="30" spans="1:45" x14ac:dyDescent="0.2">
      <c r="A30" t="s">
        <v>18</v>
      </c>
      <c r="B30" t="s">
        <v>19</v>
      </c>
      <c r="C30" s="1">
        <v>43293</v>
      </c>
      <c r="D30">
        <v>5.4000000000000003E-3</v>
      </c>
      <c r="E30">
        <v>25.7</v>
      </c>
      <c r="F30">
        <f>(1/((4.3+3.2+3.5)/3))/10</f>
        <v>2.7272727272727275E-2</v>
      </c>
      <c r="G30">
        <v>0.04</v>
      </c>
      <c r="H30">
        <v>34</v>
      </c>
      <c r="I30">
        <v>3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7</v>
      </c>
      <c r="AA30">
        <v>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10</v>
      </c>
      <c r="AM30">
        <v>0</v>
      </c>
      <c r="AN30">
        <v>0</v>
      </c>
      <c r="AO30">
        <v>0</v>
      </c>
      <c r="AP30">
        <v>4</v>
      </c>
      <c r="AQ30">
        <v>0</v>
      </c>
      <c r="AR30">
        <f t="shared" si="0"/>
        <v>5</v>
      </c>
      <c r="AS30">
        <f t="shared" si="1"/>
        <v>0.12481844589687724</v>
      </c>
    </row>
    <row r="31" spans="1:45" x14ac:dyDescent="0.2">
      <c r="A31" t="s">
        <v>18</v>
      </c>
      <c r="B31" t="s">
        <v>15</v>
      </c>
      <c r="C31" s="1">
        <v>43293</v>
      </c>
      <c r="D31">
        <v>5.4000000000000003E-3</v>
      </c>
      <c r="E31">
        <v>21.5</v>
      </c>
      <c r="F31">
        <f>(1/((2.8+3+2.5)/3))/10</f>
        <v>3.6144578313253004E-2</v>
      </c>
      <c r="G31">
        <v>0.04</v>
      </c>
      <c r="H31">
        <v>35</v>
      </c>
      <c r="I31">
        <v>5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7</v>
      </c>
      <c r="AA31">
        <v>1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3</v>
      </c>
      <c r="AH31">
        <v>0</v>
      </c>
      <c r="AI31">
        <v>0</v>
      </c>
      <c r="AJ31">
        <v>0</v>
      </c>
      <c r="AK31">
        <v>6</v>
      </c>
      <c r="AL31">
        <v>11</v>
      </c>
      <c r="AM31">
        <v>0</v>
      </c>
      <c r="AN31">
        <v>1</v>
      </c>
      <c r="AO31">
        <v>0</v>
      </c>
      <c r="AP31">
        <v>11</v>
      </c>
      <c r="AQ31">
        <v>0</v>
      </c>
      <c r="AR31">
        <f t="shared" si="0"/>
        <v>6</v>
      </c>
      <c r="AS31">
        <f t="shared" si="1"/>
        <v>0.10978835978835981</v>
      </c>
    </row>
    <row r="32" spans="1:45" s="2" customFormat="1" x14ac:dyDescent="0.2">
      <c r="A32" s="2" t="s">
        <v>18</v>
      </c>
      <c r="B32" s="2" t="s">
        <v>15</v>
      </c>
      <c r="C32" s="3">
        <v>43316</v>
      </c>
      <c r="D32" s="2">
        <v>3.0599999999999998E-3</v>
      </c>
      <c r="E32" s="2">
        <v>19.3</v>
      </c>
      <c r="F32" s="2">
        <f>(1/((2.2+1.7+1.6)/3))/10</f>
        <v>5.454545454545455E-2</v>
      </c>
      <c r="G32" s="2">
        <v>0.06</v>
      </c>
      <c r="H32" s="2">
        <v>36</v>
      </c>
      <c r="I32" s="2">
        <v>2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3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f t="shared" si="0"/>
        <v>4</v>
      </c>
      <c r="AS32" s="2">
        <f t="shared" si="1"/>
        <v>3.1435756744398718E-2</v>
      </c>
    </row>
    <row r="33" spans="1:45" s="2" customFormat="1" x14ac:dyDescent="0.2">
      <c r="A33" s="2" t="s">
        <v>18</v>
      </c>
      <c r="B33" s="2" t="s">
        <v>19</v>
      </c>
      <c r="C33" s="3">
        <v>43316</v>
      </c>
      <c r="D33" s="2">
        <v>3.0599999999999998E-3</v>
      </c>
      <c r="E33" s="2">
        <v>21.7</v>
      </c>
      <c r="F33" s="2">
        <f>(1/((2.9+2.6+2.3)/3))/10</f>
        <v>3.8461538461538457E-2</v>
      </c>
      <c r="G33" s="2">
        <v>0.05</v>
      </c>
      <c r="H33" s="2">
        <v>32</v>
      </c>
      <c r="I33" s="2">
        <v>126</v>
      </c>
      <c r="J33" s="2">
        <v>2</v>
      </c>
      <c r="K33" s="2">
        <v>2</v>
      </c>
      <c r="L33" s="2">
        <v>10</v>
      </c>
      <c r="M33" s="2">
        <v>0</v>
      </c>
      <c r="N33" s="2">
        <v>0</v>
      </c>
      <c r="O33" s="2">
        <v>0</v>
      </c>
      <c r="P33" s="2">
        <v>0</v>
      </c>
      <c r="Q33" s="2">
        <v>2</v>
      </c>
      <c r="R33" s="2">
        <v>0</v>
      </c>
      <c r="S33" s="2">
        <v>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>
        <v>15</v>
      </c>
      <c r="AA33" s="2">
        <v>67</v>
      </c>
      <c r="AB33" s="2">
        <v>0</v>
      </c>
      <c r="AC33" s="2">
        <v>0</v>
      </c>
      <c r="AD33" s="2">
        <v>0</v>
      </c>
      <c r="AE33" s="2">
        <v>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2</v>
      </c>
      <c r="AL33" s="2">
        <v>2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f t="shared" si="0"/>
        <v>144</v>
      </c>
      <c r="AS33" s="2">
        <f t="shared" si="1"/>
        <v>2.166666666666667</v>
      </c>
    </row>
    <row r="34" spans="1:45" x14ac:dyDescent="0.2">
      <c r="A34" t="s">
        <v>38</v>
      </c>
      <c r="B34" t="s">
        <v>19</v>
      </c>
      <c r="C34" s="1">
        <v>43293</v>
      </c>
      <c r="D34">
        <v>1.2600000000000001E-3</v>
      </c>
      <c r="E34">
        <v>16.100000000000001</v>
      </c>
      <c r="F34">
        <f>(1/((2.2+3.6+3.2)/3))/10</f>
        <v>3.3333333333333333E-2</v>
      </c>
      <c r="G34">
        <v>0.04</v>
      </c>
      <c r="H34">
        <v>36</v>
      </c>
      <c r="I34">
        <v>4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63</v>
      </c>
      <c r="AA34">
        <v>28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4</v>
      </c>
      <c r="AH34">
        <v>0</v>
      </c>
      <c r="AI34">
        <v>1</v>
      </c>
      <c r="AJ34">
        <v>1</v>
      </c>
      <c r="AK34">
        <v>11</v>
      </c>
      <c r="AL34">
        <v>93</v>
      </c>
      <c r="AM34">
        <v>0</v>
      </c>
      <c r="AN34">
        <v>0</v>
      </c>
      <c r="AO34">
        <v>0</v>
      </c>
      <c r="AP34">
        <v>1</v>
      </c>
      <c r="AQ34">
        <v>0</v>
      </c>
      <c r="AR34">
        <f t="shared" si="0"/>
        <v>10</v>
      </c>
      <c r="AS34">
        <f t="shared" si="1"/>
        <v>0.1929012345679012</v>
      </c>
    </row>
    <row r="35" spans="1:45" x14ac:dyDescent="0.2">
      <c r="A35" t="s">
        <v>38</v>
      </c>
      <c r="B35" t="s">
        <v>15</v>
      </c>
      <c r="C35" s="1">
        <v>43293</v>
      </c>
      <c r="D35">
        <v>1.2600000000000001E-3</v>
      </c>
      <c r="E35">
        <v>16.600000000000001</v>
      </c>
      <c r="F35">
        <f>(1/3.8)/10</f>
        <v>2.6315789473684209E-2</v>
      </c>
      <c r="G35">
        <v>8.5000000000000006E-2</v>
      </c>
      <c r="H35">
        <v>31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16</v>
      </c>
      <c r="AA35">
        <v>3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5</v>
      </c>
      <c r="AL35">
        <v>8</v>
      </c>
      <c r="AM35">
        <v>1</v>
      </c>
      <c r="AN35">
        <v>0</v>
      </c>
      <c r="AO35">
        <v>0</v>
      </c>
      <c r="AP35">
        <v>4</v>
      </c>
      <c r="AQ35">
        <v>0</v>
      </c>
      <c r="AR35">
        <f t="shared" si="0"/>
        <v>8</v>
      </c>
      <c r="AS35">
        <f t="shared" si="1"/>
        <v>0.10682409164382599</v>
      </c>
    </row>
    <row r="36" spans="1:45" s="2" customFormat="1" x14ac:dyDescent="0.2">
      <c r="A36" s="2" t="s">
        <v>38</v>
      </c>
      <c r="B36" s="2" t="s">
        <v>15</v>
      </c>
      <c r="C36" s="3">
        <v>43316</v>
      </c>
      <c r="D36" s="2">
        <v>1.2999999999999999E-5</v>
      </c>
      <c r="E36" s="2">
        <v>16.399999999999999</v>
      </c>
      <c r="F36" s="2">
        <f>(1/((2+2.1+2.4)/3))/10</f>
        <v>4.6153846153846156E-2</v>
      </c>
      <c r="G36" s="2">
        <v>0.14000000000000001</v>
      </c>
      <c r="H36" s="2">
        <v>32</v>
      </c>
      <c r="I36" s="2">
        <v>3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3</v>
      </c>
      <c r="Z36" s="2">
        <v>4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3</v>
      </c>
      <c r="AH36" s="2">
        <v>0</v>
      </c>
      <c r="AI36" s="2">
        <v>1</v>
      </c>
      <c r="AJ36" s="2">
        <v>0</v>
      </c>
      <c r="AK36" s="2">
        <v>3</v>
      </c>
      <c r="AL36" s="2">
        <v>6</v>
      </c>
      <c r="AM36" s="2">
        <v>4</v>
      </c>
      <c r="AN36" s="2">
        <v>0</v>
      </c>
      <c r="AO36" s="2">
        <v>0</v>
      </c>
      <c r="AP36" s="2">
        <v>0</v>
      </c>
      <c r="AQ36" s="2">
        <v>0</v>
      </c>
      <c r="AR36" s="2">
        <f t="shared" si="0"/>
        <v>4</v>
      </c>
      <c r="AS36" s="2">
        <f t="shared" si="1"/>
        <v>1.7912257495590826E-2</v>
      </c>
    </row>
    <row r="37" spans="1:45" s="2" customFormat="1" x14ac:dyDescent="0.2">
      <c r="A37" s="2" t="s">
        <v>38</v>
      </c>
      <c r="B37" s="2" t="s">
        <v>19</v>
      </c>
      <c r="C37" s="3">
        <v>43316</v>
      </c>
      <c r="D37" s="2">
        <v>1.2999999999999999E-5</v>
      </c>
      <c r="E37" s="2">
        <v>15.2</v>
      </c>
      <c r="F37" s="2">
        <f>(1/((2.6+1.9+2.7)/3))/10</f>
        <v>4.1666666666666671E-2</v>
      </c>
      <c r="G37" s="2">
        <v>0.11</v>
      </c>
      <c r="H37" s="2">
        <v>30</v>
      </c>
      <c r="I37" s="2">
        <v>215</v>
      </c>
      <c r="J37" s="2">
        <v>5</v>
      </c>
      <c r="K37" s="2">
        <v>44</v>
      </c>
      <c r="L37" s="2">
        <v>5</v>
      </c>
      <c r="M37" s="2">
        <v>0</v>
      </c>
      <c r="N37" s="2">
        <v>0</v>
      </c>
      <c r="O37" s="2">
        <v>0</v>
      </c>
      <c r="P37" s="2">
        <v>0</v>
      </c>
      <c r="Q37" s="2">
        <v>6</v>
      </c>
      <c r="R37" s="2">
        <v>0</v>
      </c>
      <c r="S37" s="2">
        <v>4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4</v>
      </c>
      <c r="Z37" s="2">
        <v>22</v>
      </c>
      <c r="AA37" s="2">
        <v>70</v>
      </c>
      <c r="AB37" s="2">
        <v>12</v>
      </c>
      <c r="AC37" s="2">
        <v>0</v>
      </c>
      <c r="AD37" s="2">
        <v>0</v>
      </c>
      <c r="AE37" s="2">
        <v>4</v>
      </c>
      <c r="AF37" s="2">
        <v>0</v>
      </c>
      <c r="AG37" s="2">
        <v>2</v>
      </c>
      <c r="AH37" s="2">
        <v>0</v>
      </c>
      <c r="AI37" s="2">
        <v>0</v>
      </c>
      <c r="AJ37" s="2">
        <v>0</v>
      </c>
      <c r="AK37" s="2">
        <v>13</v>
      </c>
      <c r="AL37" s="2">
        <v>27</v>
      </c>
      <c r="AM37" s="2">
        <v>4</v>
      </c>
      <c r="AN37" s="2">
        <v>0</v>
      </c>
      <c r="AO37" s="2">
        <v>0</v>
      </c>
      <c r="AP37" s="2">
        <v>0</v>
      </c>
      <c r="AQ37" s="2">
        <v>0</v>
      </c>
      <c r="AR37" s="2">
        <f t="shared" si="0"/>
        <v>279</v>
      </c>
      <c r="AS37" s="2">
        <f t="shared" si="1"/>
        <v>1.8787878787878782</v>
      </c>
    </row>
    <row r="38" spans="1:45" s="4" customFormat="1" x14ac:dyDescent="0.2">
      <c r="A38" s="4" t="s">
        <v>59</v>
      </c>
      <c r="B38" s="4" t="s">
        <v>15</v>
      </c>
      <c r="C38" s="5">
        <v>43294</v>
      </c>
      <c r="D38" s="4">
        <f>(0.00082+0.00038)/2</f>
        <v>6.0000000000000006E-4</v>
      </c>
      <c r="E38" s="4">
        <v>19.600000000000001</v>
      </c>
      <c r="F38" s="4">
        <f>(1/((1.9+1.6+1.4)/3))/10</f>
        <v>6.1224489795918359E-2</v>
      </c>
      <c r="G38" s="4">
        <v>7.0000000000000007E-2</v>
      </c>
      <c r="H38" s="4">
        <v>27</v>
      </c>
    </row>
    <row r="39" spans="1:45" x14ac:dyDescent="0.2">
      <c r="A39" s="4" t="s">
        <v>59</v>
      </c>
      <c r="B39" s="4" t="s">
        <v>19</v>
      </c>
      <c r="C39" s="5">
        <v>43294</v>
      </c>
      <c r="D39" s="4">
        <f>(0.00082+0.00038)/2</f>
        <v>6.0000000000000006E-4</v>
      </c>
      <c r="E39" s="4">
        <v>19</v>
      </c>
      <c r="F39" s="4">
        <f>(1/((1.2+1.2+1)/3))/10</f>
        <v>8.8235294117647051E-2</v>
      </c>
      <c r="G39" s="4">
        <v>7.0000000000000007E-2</v>
      </c>
      <c r="H39" s="4">
        <v>18</v>
      </c>
    </row>
    <row r="40" spans="1:45" x14ac:dyDescent="0.2">
      <c r="A40" s="4" t="s">
        <v>59</v>
      </c>
      <c r="B40" s="4" t="s">
        <v>15</v>
      </c>
      <c r="C40" s="5">
        <v>43317</v>
      </c>
      <c r="D40" s="4">
        <f>(0.00082+0.00038)/2</f>
        <v>6.0000000000000006E-4</v>
      </c>
      <c r="E40" s="4">
        <v>17.8</v>
      </c>
      <c r="F40" s="4">
        <f>(1/((1.3+1.5+1.4)/3))/10</f>
        <v>7.1428571428571438E-2</v>
      </c>
      <c r="G40" s="4">
        <v>7.0000000000000007E-2</v>
      </c>
      <c r="H40" s="4">
        <v>30</v>
      </c>
    </row>
    <row r="41" spans="1:45" x14ac:dyDescent="0.2">
      <c r="A41" s="4" t="s">
        <v>59</v>
      </c>
      <c r="B41" s="4" t="s">
        <v>19</v>
      </c>
      <c r="C41" s="5">
        <v>43317</v>
      </c>
      <c r="D41" s="4">
        <f>(0.00082+0.00038)/2</f>
        <v>6.0000000000000006E-4</v>
      </c>
      <c r="E41" s="4">
        <v>20.5</v>
      </c>
      <c r="F41" s="4">
        <f>(1/((1.7+1.7+1.6)/3))/10</f>
        <v>0.06</v>
      </c>
      <c r="G41" s="4">
        <v>7.0000000000000007E-2</v>
      </c>
      <c r="H41" s="4">
        <v>30</v>
      </c>
    </row>
    <row r="42" spans="1:45" x14ac:dyDescent="0.2">
      <c r="A42" s="4" t="s">
        <v>60</v>
      </c>
      <c r="B42" s="4" t="s">
        <v>15</v>
      </c>
      <c r="C42" s="1">
        <v>43296</v>
      </c>
      <c r="D42" s="4">
        <v>1.2999999999999999E-5</v>
      </c>
      <c r="E42" s="4">
        <v>7.1</v>
      </c>
      <c r="F42" s="4">
        <f>(1/((1+1.2+1.2)/3))/10</f>
        <v>8.8235294117647051E-2</v>
      </c>
      <c r="G42" s="4">
        <v>0.30499999999999999</v>
      </c>
      <c r="H42" s="4">
        <v>20</v>
      </c>
    </row>
    <row r="43" spans="1:45" x14ac:dyDescent="0.2">
      <c r="A43" s="4" t="s">
        <v>60</v>
      </c>
      <c r="B43" s="4" t="s">
        <v>19</v>
      </c>
      <c r="C43" s="1">
        <v>43296</v>
      </c>
      <c r="D43" s="4">
        <v>1.2999999999999999E-5</v>
      </c>
      <c r="E43" s="4">
        <v>6.9</v>
      </c>
      <c r="F43" s="4">
        <f>(1/((1.4+1.8+1.3)/3))/10</f>
        <v>6.6666666666666666E-2</v>
      </c>
      <c r="G43" s="4">
        <v>0.30499999999999999</v>
      </c>
      <c r="H43" s="4">
        <v>11</v>
      </c>
    </row>
    <row r="44" spans="1:45" x14ac:dyDescent="0.2">
      <c r="A44" s="4" t="s">
        <v>60</v>
      </c>
      <c r="B44" s="4" t="s">
        <v>15</v>
      </c>
      <c r="C44" s="1">
        <v>43318</v>
      </c>
      <c r="D44" s="4">
        <v>1.2999999999999999E-5</v>
      </c>
      <c r="E44" s="4">
        <v>8.1</v>
      </c>
      <c r="F44" s="4">
        <f>(1/((1.5+1.4+1.7)/3))/10</f>
        <v>6.5217391304347824E-2</v>
      </c>
      <c r="G44" s="4">
        <v>0.23</v>
      </c>
      <c r="H44" s="4">
        <v>21</v>
      </c>
    </row>
    <row r="45" spans="1:45" x14ac:dyDescent="0.2">
      <c r="A45" s="4" t="s">
        <v>60</v>
      </c>
      <c r="B45" s="4" t="s">
        <v>19</v>
      </c>
      <c r="C45" s="1">
        <v>43318</v>
      </c>
      <c r="D45" s="4">
        <v>1.2999999999999999E-5</v>
      </c>
      <c r="E45" s="4">
        <v>5.7</v>
      </c>
      <c r="F45" s="4">
        <f>(1/((2.5+2.5+2.7)/3))/10</f>
        <v>3.896103896103896E-2</v>
      </c>
      <c r="G45" s="4">
        <v>0.30499999999999999</v>
      </c>
      <c r="H45" s="4">
        <v>21</v>
      </c>
    </row>
  </sheetData>
  <sortState xmlns:xlrd2="http://schemas.microsoft.com/office/spreadsheetml/2017/richdata2" ref="A2:AS37">
    <sortCondition ref="A2:A37"/>
    <sortCondition ref="C2: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E341-E3A6-AE46-8256-81004A3923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1E16-D59E-7F41-AF47-DD4CF6D32C8C}">
  <dimension ref="A1:E13"/>
  <sheetViews>
    <sheetView workbookViewId="0">
      <selection activeCell="H6" sqref="H6"/>
    </sheetView>
  </sheetViews>
  <sheetFormatPr baseColWidth="10" defaultRowHeight="16" x14ac:dyDescent="0.2"/>
  <sheetData>
    <row r="1" spans="1:5" x14ac:dyDescent="0.2">
      <c r="A1" t="s">
        <v>0</v>
      </c>
      <c r="B1" t="s">
        <v>16</v>
      </c>
      <c r="C1" t="s">
        <v>61</v>
      </c>
      <c r="D1" t="s">
        <v>2</v>
      </c>
      <c r="E1" t="s">
        <v>43</v>
      </c>
    </row>
    <row r="2" spans="1:5" x14ac:dyDescent="0.2">
      <c r="A2" s="4" t="s">
        <v>44</v>
      </c>
      <c r="B2" s="5">
        <v>43297</v>
      </c>
      <c r="C2" s="4">
        <v>0.77</v>
      </c>
      <c r="D2" s="4">
        <v>19.5</v>
      </c>
      <c r="E2">
        <v>3.9804278561675006</v>
      </c>
    </row>
    <row r="3" spans="1:5" x14ac:dyDescent="0.2">
      <c r="A3" s="4" t="s">
        <v>48</v>
      </c>
      <c r="B3" s="5">
        <v>43315</v>
      </c>
      <c r="C3" s="4">
        <v>3.8</v>
      </c>
      <c r="D3" s="4">
        <v>18.2</v>
      </c>
      <c r="E3">
        <v>8.0840938525948012</v>
      </c>
    </row>
    <row r="4" spans="1:5" x14ac:dyDescent="0.2">
      <c r="A4" s="4" t="s">
        <v>37</v>
      </c>
      <c r="B4" s="5">
        <v>43314</v>
      </c>
      <c r="C4" s="4">
        <v>56.29</v>
      </c>
      <c r="D4" s="4">
        <v>19.2</v>
      </c>
      <c r="E4">
        <v>11.054716981132078</v>
      </c>
    </row>
    <row r="5" spans="1:5" x14ac:dyDescent="0.2">
      <c r="A5" s="4" t="s">
        <v>32</v>
      </c>
      <c r="B5" s="5">
        <v>43317</v>
      </c>
      <c r="C5" s="4">
        <v>10.45</v>
      </c>
      <c r="D5" s="4">
        <v>21.9</v>
      </c>
      <c r="E5">
        <v>6.1342624653739604</v>
      </c>
    </row>
    <row r="6" spans="1:5" x14ac:dyDescent="0.2">
      <c r="A6" s="4" t="s">
        <v>25</v>
      </c>
      <c r="B6" s="5">
        <v>43292</v>
      </c>
      <c r="C6" s="4">
        <v>0</v>
      </c>
      <c r="D6" s="4">
        <v>19.5</v>
      </c>
      <c r="E6">
        <v>0.92074592074592065</v>
      </c>
    </row>
    <row r="7" spans="1:5" x14ac:dyDescent="0.2">
      <c r="A7" s="4" t="s">
        <v>25</v>
      </c>
      <c r="B7" s="5">
        <v>43315</v>
      </c>
      <c r="C7" s="4">
        <v>0</v>
      </c>
      <c r="D7" s="4">
        <v>21.3</v>
      </c>
      <c r="E7">
        <v>22.932860520094565</v>
      </c>
    </row>
    <row r="8" spans="1:5" x14ac:dyDescent="0.2">
      <c r="A8" s="4" t="s">
        <v>26</v>
      </c>
      <c r="B8" s="5">
        <v>43291</v>
      </c>
      <c r="C8" s="4">
        <v>47.36</v>
      </c>
      <c r="D8" s="4">
        <v>18.600000000000001</v>
      </c>
      <c r="E8">
        <v>3.9732585034013606</v>
      </c>
    </row>
    <row r="9" spans="1:5" x14ac:dyDescent="0.2">
      <c r="A9" s="4" t="s">
        <v>26</v>
      </c>
      <c r="B9" s="5">
        <v>43314</v>
      </c>
      <c r="C9" s="4">
        <v>47.36</v>
      </c>
      <c r="D9" s="4">
        <v>19.100000000000001</v>
      </c>
      <c r="E9">
        <v>30.909090909090921</v>
      </c>
    </row>
    <row r="10" spans="1:5" x14ac:dyDescent="0.2">
      <c r="A10" s="4" t="s">
        <v>18</v>
      </c>
      <c r="B10" s="5">
        <v>43293</v>
      </c>
      <c r="C10" s="4">
        <v>15.13</v>
      </c>
      <c r="D10" s="4">
        <v>21.5</v>
      </c>
      <c r="E10">
        <v>1.1369005433498696</v>
      </c>
    </row>
    <row r="11" spans="1:5" x14ac:dyDescent="0.2">
      <c r="A11" s="4" t="s">
        <v>18</v>
      </c>
      <c r="B11" s="5">
        <v>43316</v>
      </c>
      <c r="C11" s="4">
        <v>15.13</v>
      </c>
      <c r="D11" s="4">
        <v>19.3</v>
      </c>
      <c r="E11">
        <v>68.923636363636376</v>
      </c>
    </row>
    <row r="12" spans="1:5" x14ac:dyDescent="0.2">
      <c r="A12" s="4" t="s">
        <v>38</v>
      </c>
      <c r="B12" s="5">
        <v>43293</v>
      </c>
      <c r="C12" s="4">
        <v>0</v>
      </c>
      <c r="D12" s="4">
        <v>16.600000000000001</v>
      </c>
      <c r="E12">
        <v>1.80578399122807</v>
      </c>
    </row>
    <row r="13" spans="1:5" x14ac:dyDescent="0.2">
      <c r="A13" s="4" t="s">
        <v>38</v>
      </c>
      <c r="B13" s="5">
        <v>43316</v>
      </c>
      <c r="C13" s="4">
        <v>0</v>
      </c>
      <c r="D13" s="4">
        <v>16.399999999999999</v>
      </c>
      <c r="E13">
        <v>104.88839160839159</v>
      </c>
    </row>
  </sheetData>
  <sortState xmlns:xlrd2="http://schemas.microsoft.com/office/spreadsheetml/2017/richdata2" ref="A2:E13">
    <sortCondition ref="A2:A13"/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MessingAround</vt:lpstr>
      <vt:lpstr>Raw Data</vt:lpstr>
      <vt:lpstr>Baetid Drift</vt:lpstr>
      <vt:lpstr>NightDayRatio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2018-11-11T23:53:06Z</dcterms:created>
  <dcterms:modified xsi:type="dcterms:W3CDTF">2020-12-18T15:59:22Z</dcterms:modified>
</cp:coreProperties>
</file>