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480" yWindow="480" windowWidth="25120" windowHeight="14280" tabRatio="610" activeTab="1"/>
  </bookViews>
  <sheets>
    <sheet name="renters" sheetId="1" r:id="rId1"/>
    <sheet name="non-white" sheetId="2" r:id="rId2"/>
    <sheet name="less than bachelors" sheetId="3" r:id="rId3"/>
    <sheet name="mhi" sheetId="4" r:id="rId4"/>
    <sheet name="four county vulnerability" sheetId="5" r:id="rId5"/>
    <sheet name="old summary vulnerability" sheetId="6" r:id="rId6"/>
    <sheet name="summary demographic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C28" i="3"/>
  <c r="B28" i="3"/>
  <c r="C3" i="5"/>
  <c r="B3" i="5"/>
  <c r="B13" i="2"/>
  <c r="B12" i="2"/>
  <c r="C15" i="1"/>
  <c r="D15" i="1"/>
  <c r="D14" i="1"/>
  <c r="C14" i="1"/>
  <c r="C26" i="2"/>
  <c r="C25" i="2"/>
  <c r="C24" i="2"/>
  <c r="E3" i="5"/>
  <c r="K42" i="6"/>
  <c r="K41" i="6"/>
  <c r="K40" i="6"/>
  <c r="K38" i="6"/>
  <c r="L46" i="6"/>
  <c r="K45" i="6"/>
  <c r="K44" i="6"/>
  <c r="K43" i="6"/>
  <c r="K46" i="6"/>
  <c r="K48" i="6"/>
  <c r="L48" i="6"/>
  <c r="K47" i="6"/>
  <c r="J61" i="6"/>
  <c r="C5" i="6"/>
  <c r="E5" i="6"/>
  <c r="I83" i="6"/>
  <c r="U81" i="6"/>
  <c r="Q81" i="6"/>
  <c r="M81" i="6"/>
  <c r="I81" i="6"/>
  <c r="I80" i="6"/>
  <c r="I82" i="6"/>
  <c r="I79" i="6"/>
  <c r="I78" i="6"/>
  <c r="I77" i="6"/>
  <c r="I84" i="6"/>
  <c r="D5" i="6"/>
  <c r="I61" i="6"/>
  <c r="U77" i="6"/>
  <c r="U78" i="6"/>
  <c r="U79" i="6"/>
  <c r="U80" i="6"/>
  <c r="Q77" i="6"/>
  <c r="Q78" i="6"/>
  <c r="Q79" i="6"/>
  <c r="Q80" i="6"/>
  <c r="M77" i="6"/>
  <c r="M78" i="6"/>
  <c r="M79" i="6"/>
  <c r="M80" i="6"/>
  <c r="U76" i="6"/>
  <c r="Q76" i="6"/>
  <c r="M76" i="6"/>
  <c r="I76" i="6"/>
  <c r="I60" i="6"/>
  <c r="I59" i="6"/>
  <c r="U58" i="6"/>
  <c r="U57" i="6"/>
  <c r="Q58" i="6"/>
  <c r="Q57" i="6"/>
  <c r="M58" i="6"/>
  <c r="M57" i="6"/>
  <c r="I58" i="6"/>
  <c r="I57" i="6"/>
  <c r="B5" i="6"/>
  <c r="K39" i="6"/>
  <c r="M39" i="6"/>
  <c r="M38" i="6"/>
  <c r="O39" i="6"/>
  <c r="O38" i="6"/>
  <c r="Q38" i="6"/>
  <c r="Q39" i="6"/>
  <c r="F3" i="7"/>
  <c r="C3" i="7"/>
  <c r="C3" i="6"/>
  <c r="J4" i="6"/>
  <c r="I4" i="6"/>
  <c r="E3" i="7"/>
  <c r="D3" i="7"/>
  <c r="B3" i="7"/>
  <c r="H3" i="7"/>
  <c r="G3" i="7"/>
  <c r="B3" i="6"/>
  <c r="D3" i="6"/>
  <c r="B15" i="6"/>
  <c r="A41" i="6"/>
  <c r="E3" i="6"/>
  <c r="C40" i="6"/>
  <c r="B40" i="6"/>
  <c r="C15" i="6"/>
  <c r="E15" i="6"/>
  <c r="D15" i="6"/>
</calcChain>
</file>

<file path=xl/sharedStrings.xml><?xml version="1.0" encoding="utf-8"?>
<sst xmlns="http://schemas.openxmlformats.org/spreadsheetml/2006/main" count="820" uniqueCount="294">
  <si>
    <t>% non white</t>
  </si>
  <si>
    <t>% renter occupied</t>
  </si>
  <si>
    <t>% bachelors or higher</t>
  </si>
  <si>
    <t>% mhi</t>
  </si>
  <si>
    <t>Gresham</t>
  </si>
  <si>
    <t>Portland</t>
  </si>
  <si>
    <t>based on 5 year estimates</t>
  </si>
  <si>
    <t>MoE % bachelors</t>
  </si>
  <si>
    <t>S1501</t>
  </si>
  <si>
    <t>EDUCATIONAL ATTAINMENT  more information</t>
  </si>
  <si>
    <t>2009-2013 American Community Survey 5-Year Estimates</t>
  </si>
  <si>
    <t>B25003</t>
  </si>
  <si>
    <t>TENURE</t>
  </si>
  <si>
    <t>Universe: Occupied housing units  more information</t>
  </si>
  <si>
    <t>Gresham city, Oregon</t>
  </si>
  <si>
    <t>Estimate</t>
  </si>
  <si>
    <t>Margin of Error</t>
  </si>
  <si>
    <t>Total:</t>
  </si>
  <si>
    <t>Owner occupied</t>
  </si>
  <si>
    <t>Renter occupied</t>
  </si>
  <si>
    <t>DP05</t>
  </si>
  <si>
    <t>ACS DEMOGRAPHIC AND HOUSING ESTIMATES  more information</t>
  </si>
  <si>
    <t>White alone</t>
  </si>
  <si>
    <t>Total pop</t>
  </si>
  <si>
    <t>80% HUD adjusted MFI</t>
  </si>
  <si>
    <t># renter occupied w/ MoE</t>
  </si>
  <si>
    <t># white alone</t>
  </si>
  <si>
    <t># households</t>
  </si>
  <si>
    <t>total households</t>
  </si>
  <si>
    <t>Tri County</t>
  </si>
  <si>
    <t>% non bachelors</t>
  </si>
  <si>
    <t>% homeowners</t>
  </si>
  <si>
    <t>% white</t>
  </si>
  <si>
    <t>% bachelors</t>
  </si>
  <si>
    <t>% MHI</t>
  </si>
  <si>
    <t>MoE homeowners</t>
  </si>
  <si>
    <t>MoE white</t>
  </si>
  <si>
    <t>MoE bachelors</t>
  </si>
  <si>
    <t>MoE MHI</t>
  </si>
  <si>
    <t>Total population</t>
  </si>
  <si>
    <t>MoE</t>
  </si>
  <si>
    <t>Percent</t>
  </si>
  <si>
    <t>Population 25 years and over</t>
  </si>
  <si>
    <t>+/-981</t>
  </si>
  <si>
    <t>+/-922</t>
  </si>
  <si>
    <t>+/-732</t>
  </si>
  <si>
    <t>Less than 9th grade</t>
  </si>
  <si>
    <t>+/-1.0</t>
  </si>
  <si>
    <t>+/-1.1</t>
  </si>
  <si>
    <t>9th to 12th grade, no diploma</t>
  </si>
  <si>
    <t>+/-1.2</t>
  </si>
  <si>
    <t>+/-1.3</t>
  </si>
  <si>
    <t>High school graduate (includes equivalency)</t>
  </si>
  <si>
    <t>+/-2.1</t>
  </si>
  <si>
    <t>+/-1.7</t>
  </si>
  <si>
    <t>Some college, no degree</t>
  </si>
  <si>
    <t>+/-1.8</t>
  </si>
  <si>
    <t>Associate's degree</t>
  </si>
  <si>
    <t>+/-0.8</t>
  </si>
  <si>
    <t>+/-0.9</t>
  </si>
  <si>
    <t>Bachelor's degree</t>
  </si>
  <si>
    <t>+/-1.6</t>
  </si>
  <si>
    <t>Graduate or professional degree</t>
  </si>
  <si>
    <t>+/-0.6</t>
  </si>
  <si>
    <t>+/-0.7</t>
  </si>
  <si>
    <t>Subject</t>
  </si>
  <si>
    <t>Total</t>
  </si>
  <si>
    <t>Median income (dollars)</t>
  </si>
  <si>
    <t>Households</t>
  </si>
  <si>
    <t>+/-755</t>
  </si>
  <si>
    <t>+/-1,496</t>
  </si>
  <si>
    <t>S1903</t>
  </si>
  <si>
    <t>MEDIAN INCOME IN THE PAST 12 MONTHS (IN 2013 INFLATION-ADJUSTED DOLLARS)  more information</t>
  </si>
  <si>
    <t>Median household income in 1999 --</t>
  </si>
  <si>
    <t>HCT012</t>
  </si>
  <si>
    <t>MEDIAN HOUSEHOLD INCOME IN 1999 (DOLLARS) BY TENURE [3]</t>
  </si>
  <si>
    <t>Census 2000 Summary File 3 (SF 3) - Sample Data</t>
  </si>
  <si>
    <t>H004</t>
  </si>
  <si>
    <t>TENURE [3]</t>
  </si>
  <si>
    <t>Census 2000 Summary File 1 (SF 1) 100-Percent Data</t>
  </si>
  <si>
    <t>DP-1</t>
  </si>
  <si>
    <t>Profile of General Demographic Characteristics: 2000  more information</t>
  </si>
  <si>
    <t>Less than 5th grade</t>
  </si>
  <si>
    <t>5th to 8th grade</t>
  </si>
  <si>
    <t>High school graduate (incl. equivalency)</t>
  </si>
  <si>
    <t>Some college credit, less than 1 year</t>
  </si>
  <si>
    <t>1 or more years of college, no degree</t>
  </si>
  <si>
    <t>Associate degree</t>
  </si>
  <si>
    <t>Master's degree</t>
  </si>
  <si>
    <t>Professional degree</t>
  </si>
  <si>
    <t>Doctorate degree</t>
  </si>
  <si>
    <t>Both sexes</t>
  </si>
  <si>
    <t>Male</t>
  </si>
  <si>
    <t>Femal</t>
  </si>
  <si>
    <t>QT-P20</t>
  </si>
  <si>
    <t>Educational Attainment by Sex: 2000  more information</t>
  </si>
  <si>
    <t>MHI(2000 dollars)</t>
  </si>
  <si>
    <t>Median family income in 1999</t>
  </si>
  <si>
    <t>P077</t>
  </si>
  <si>
    <t>MEDIAN FAMILY INCOME IN 1999 (DOLLARS) [1]</t>
  </si>
  <si>
    <t>Universe: Families  more information</t>
  </si>
  <si>
    <t>Census 2000 Summary File 3 (SF 3) - Sample Dat</t>
  </si>
  <si>
    <t>HCT036</t>
  </si>
  <si>
    <t>Census 2000 Summary File 4 (SF 4) - Sample Data</t>
  </si>
  <si>
    <t>Four County</t>
  </si>
  <si>
    <t>MFI Gresham</t>
  </si>
  <si>
    <t>Families</t>
  </si>
  <si>
    <t>+/-590</t>
  </si>
  <si>
    <t>+/-2,561</t>
  </si>
  <si>
    <t>1-person households</t>
  </si>
  <si>
    <t>+/-1,984</t>
  </si>
  <si>
    <t>2-person households</t>
  </si>
  <si>
    <t>+/-2,136</t>
  </si>
  <si>
    <t>3-person households</t>
  </si>
  <si>
    <t>+/-4,963</t>
  </si>
  <si>
    <t>4-person households</t>
  </si>
  <si>
    <t>+/-4,868</t>
  </si>
  <si>
    <t>5-person households</t>
  </si>
  <si>
    <t>+/-9,996</t>
  </si>
  <si>
    <t>6-person households</t>
  </si>
  <si>
    <t>+/-11,619</t>
  </si>
  <si>
    <t>7-or-more-person households</t>
  </si>
  <si>
    <t>+/-26,972</t>
  </si>
  <si>
    <t>B19019</t>
  </si>
  <si>
    <t>MEDIAN HOUSEHOLD INCOME IN THE PAST 12 MONTHS (IN 2013 INFLATION-ADJUSTED DOLLARS) BY HOUSEHOLD SIZE</t>
  </si>
  <si>
    <t>Universe: Households  more information</t>
  </si>
  <si>
    <t>Clackamas County, Oregon</t>
  </si>
  <si>
    <t>Multnomah County, Oregon</t>
  </si>
  <si>
    <t>Washington County, Oregon</t>
  </si>
  <si>
    <t>Clark County, Washington</t>
  </si>
  <si>
    <t>+/-937</t>
  </si>
  <si>
    <t>+/-1,489</t>
  </si>
  <si>
    <t>+/-975</t>
  </si>
  <si>
    <t>+/-904</t>
  </si>
  <si>
    <t>+/-1,307</t>
  </si>
  <si>
    <t>+/-1,967</t>
  </si>
  <si>
    <t>+/-1,385</t>
  </si>
  <si>
    <t>+/-1,164</t>
  </si>
  <si>
    <t>+/-1,331</t>
  </si>
  <si>
    <t>+/-1,836</t>
  </si>
  <si>
    <t>+/-1,306</t>
  </si>
  <si>
    <t>+/-1,190</t>
  </si>
  <si>
    <t>Four county total</t>
  </si>
  <si>
    <t>Adjusted total</t>
  </si>
  <si>
    <t>Adjusted renter occupied</t>
  </si>
  <si>
    <t>Four county renter occupied</t>
  </si>
  <si>
    <t>Percent Margin of Error</t>
  </si>
  <si>
    <t>+/-185</t>
  </si>
  <si>
    <t>+/-0.1</t>
  </si>
  <si>
    <t>+/-353</t>
  </si>
  <si>
    <t>+/-268</t>
  </si>
  <si>
    <t>+/-236</t>
  </si>
  <si>
    <t>*****</t>
  </si>
  <si>
    <t>(X)</t>
  </si>
  <si>
    <t>Adjusted white alone</t>
  </si>
  <si>
    <t>Four county white alone</t>
  </si>
  <si>
    <t>EDUCATIONAL ATTAINMENT</t>
  </si>
  <si>
    <t>+/-123</t>
  </si>
  <si>
    <t>+/-113</t>
  </si>
  <si>
    <t>+/-134</t>
  </si>
  <si>
    <t>+/-181</t>
  </si>
  <si>
    <t>+/-560</t>
  </si>
  <si>
    <t>+/-0.2</t>
  </si>
  <si>
    <t>+/-1,149</t>
  </si>
  <si>
    <t>+/-1,004</t>
  </si>
  <si>
    <t>+/-0.3</t>
  </si>
  <si>
    <t>+/-641</t>
  </si>
  <si>
    <t>+/-741</t>
  </si>
  <si>
    <t>+/-1,266</t>
  </si>
  <si>
    <t>+/-1,178</t>
  </si>
  <si>
    <t>+/-910</t>
  </si>
  <si>
    <t>+/-1,742</t>
  </si>
  <si>
    <t>+/-2,051</t>
  </si>
  <si>
    <t>+/-0.4</t>
  </si>
  <si>
    <t>+/-1,804</t>
  </si>
  <si>
    <t>+/-0.5</t>
  </si>
  <si>
    <t>+/-1,860</t>
  </si>
  <si>
    <t>+/-1,569</t>
  </si>
  <si>
    <t>+/-2,481</t>
  </si>
  <si>
    <t>+/-1,951</t>
  </si>
  <si>
    <t>+/-1,732</t>
  </si>
  <si>
    <t>+/-985</t>
  </si>
  <si>
    <t>+/-1,287</t>
  </si>
  <si>
    <t>+/-1,090</t>
  </si>
  <si>
    <t>+/-1,070</t>
  </si>
  <si>
    <t>+/-1,537</t>
  </si>
  <si>
    <t>+/-2,240</t>
  </si>
  <si>
    <t>+/-2,015</t>
  </si>
  <si>
    <t>+/-1,480</t>
  </si>
  <si>
    <t>+/-1,166</t>
  </si>
  <si>
    <t>+/-1,855</t>
  </si>
  <si>
    <t>+/-1,570</t>
  </si>
  <si>
    <t>+/-1,066</t>
  </si>
  <si>
    <t>DP02</t>
  </si>
  <si>
    <t>SELECTED SOCIAL CHARACTERISTICS IN THE UNITED STATES  more information</t>
  </si>
  <si>
    <t>Adjusted no bachelors</t>
  </si>
  <si>
    <t>Four county no bachelors</t>
  </si>
  <si>
    <t>White alone (Not Hispanic)</t>
  </si>
  <si>
    <t>Four county total, raw</t>
  </si>
  <si>
    <t>Four county renter, raw</t>
  </si>
  <si>
    <t>Proportion renter, raw</t>
  </si>
  <si>
    <t>Four county total MoE</t>
  </si>
  <si>
    <t>Four county renter MoE</t>
  </si>
  <si>
    <t>Proportion renter MoE</t>
  </si>
  <si>
    <t>Total number of occupied housing units, four county</t>
  </si>
  <si>
    <t>Renter occupied housing units, four county</t>
  </si>
  <si>
    <t>%  Renter occupied, adjusted</t>
  </si>
  <si>
    <t>NON-WHITE = TOTAL POPULATION - WHITE ALONE (NOT HISPANIC OR LATINO)</t>
  </si>
  <si>
    <t>Total population, four county</t>
  </si>
  <si>
    <t>White alone population, four county</t>
  </si>
  <si>
    <t>Non-white population, four county</t>
  </si>
  <si>
    <t>%  non-white, adjusted</t>
  </si>
  <si>
    <t>Less than $10,000</t>
  </si>
  <si>
    <t>$10,000 to $14,999</t>
  </si>
  <si>
    <t>$15,000 to $24,999</t>
  </si>
  <si>
    <t>$25,000 to $34,999</t>
  </si>
  <si>
    <t>$35,000 to $49,999</t>
  </si>
  <si>
    <t>$50,000 to $74,999</t>
  </si>
  <si>
    <t>$75,000 to $99,999</t>
  </si>
  <si>
    <t>$100,000 to $149,999</t>
  </si>
  <si>
    <t>$150,000 to $199,999</t>
  </si>
  <si>
    <t>$200,000 or more</t>
  </si>
  <si>
    <t>Total households</t>
  </si>
  <si>
    <t>+/-668</t>
  </si>
  <si>
    <t>+/-1,071</t>
  </si>
  <si>
    <t>+/-709</t>
  </si>
  <si>
    <t>+/-602</t>
  </si>
  <si>
    <t>+/-482</t>
  </si>
  <si>
    <t>+/-905</t>
  </si>
  <si>
    <t>+/-676</t>
  </si>
  <si>
    <t>+/-519</t>
  </si>
  <si>
    <t>+/-748</t>
  </si>
  <si>
    <t>+/-1,211</t>
  </si>
  <si>
    <t>+/-769</t>
  </si>
  <si>
    <t>+/-808</t>
  </si>
  <si>
    <t>+/-711</t>
  </si>
  <si>
    <t>+/-1,240</t>
  </si>
  <si>
    <t>+/-1,028</t>
  </si>
  <si>
    <t>+/-794</t>
  </si>
  <si>
    <t>+/-1,340</t>
  </si>
  <si>
    <t>+/-1,118</t>
  </si>
  <si>
    <t>+/-938</t>
  </si>
  <si>
    <t>+/-983</t>
  </si>
  <si>
    <t>+/-1,080</t>
  </si>
  <si>
    <t>+/-1,150</t>
  </si>
  <si>
    <t>+/-832</t>
  </si>
  <si>
    <t>+/-1,060</t>
  </si>
  <si>
    <t>+/-1,171</t>
  </si>
  <si>
    <t>+/-1,026</t>
  </si>
  <si>
    <t>+/-888</t>
  </si>
  <si>
    <t>+/-1,212</t>
  </si>
  <si>
    <t>+/-1,156</t>
  </si>
  <si>
    <t>+/-941</t>
  </si>
  <si>
    <t>+/-703</t>
  </si>
  <si>
    <t>+/-713</t>
  </si>
  <si>
    <t>+/-679</t>
  </si>
  <si>
    <t>+/-524</t>
  </si>
  <si>
    <t>+/-527</t>
  </si>
  <si>
    <t>+/-681</t>
  </si>
  <si>
    <t>+/-673</t>
  </si>
  <si>
    <t>+/-436</t>
  </si>
  <si>
    <t>Median household income (dollars)</t>
  </si>
  <si>
    <t>+/-967</t>
  </si>
  <si>
    <t>+/-692</t>
  </si>
  <si>
    <t>+/-848</t>
  </si>
  <si>
    <t>+/-1,157</t>
  </si>
  <si>
    <t>Mean household income (dollars)</t>
  </si>
  <si>
    <t>+/-1,374</t>
  </si>
  <si>
    <t>+/-894</t>
  </si>
  <si>
    <t>+/-955</t>
  </si>
  <si>
    <t>+/-1,284</t>
  </si>
  <si>
    <t>% of households at or below $54,634</t>
  </si>
  <si>
    <t>A</t>
  </si>
  <si>
    <t>B</t>
  </si>
  <si>
    <t>C</t>
  </si>
  <si>
    <t>D</t>
  </si>
  <si>
    <t>A+B</t>
  </si>
  <si>
    <t>Value</t>
  </si>
  <si>
    <t>MOE</t>
  </si>
  <si>
    <t>Renter</t>
  </si>
  <si>
    <t xml:space="preserve">Total </t>
  </si>
  <si>
    <t xml:space="preserve">Value </t>
  </si>
  <si>
    <t xml:space="preserve">Total Population </t>
  </si>
  <si>
    <t xml:space="preserve">Moe </t>
  </si>
  <si>
    <t xml:space="preserve">White Alone </t>
  </si>
  <si>
    <t xml:space="preserve">Non-white </t>
  </si>
  <si>
    <t>Tri-County</t>
  </si>
  <si>
    <t xml:space="preserve">Four-couny </t>
  </si>
  <si>
    <t xml:space="preserve">Tri-County </t>
  </si>
  <si>
    <t xml:space="preserve">Four-County </t>
  </si>
  <si>
    <t>Total population 25+, four county</t>
  </si>
  <si>
    <t>Less than Bachelors, four county</t>
  </si>
  <si>
    <t>%  less than bachelors</t>
  </si>
  <si>
    <t>Less than 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</si>
</sst>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&quot;$&quot;#,##0;[Red]&quot;$&quot;#,##0"/>
    <numFmt numFmtId="166" formatCode="_-* #,##0_-;\-* #,##0_-;_-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Arial"/>
    </font>
    <font>
      <sz val="11"/>
      <color rgb="FF000000"/>
      <name val="Arial"/>
    </font>
    <font>
      <b/>
      <sz val="11"/>
      <color rgb="FF222222"/>
      <name val="Arial"/>
    </font>
    <font>
      <sz val="11"/>
      <color rgb="FF222222"/>
      <name val="Arial"/>
    </font>
    <font>
      <b/>
      <sz val="16.8"/>
      <color rgb="FF3A4F70"/>
      <name val="Arial"/>
    </font>
    <font>
      <sz val="13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3" fontId="0" fillId="0" borderId="0" xfId="0" applyNumberFormat="1"/>
    <xf numFmtId="0" fontId="0" fillId="2" borderId="0" xfId="0" applyFill="1"/>
    <xf numFmtId="10" fontId="0" fillId="2" borderId="0" xfId="5" applyNumberFormat="1" applyFont="1" applyFill="1"/>
    <xf numFmtId="10" fontId="0" fillId="2" borderId="0" xfId="0" applyNumberFormat="1" applyFill="1"/>
    <xf numFmtId="0" fontId="0" fillId="0" borderId="0" xfId="0" applyFill="1"/>
    <xf numFmtId="10" fontId="0" fillId="0" borderId="0" xfId="5" applyNumberFormat="1" applyFont="1" applyFill="1" applyBorder="1"/>
    <xf numFmtId="10" fontId="0" fillId="0" borderId="0" xfId="0" applyNumberFormat="1" applyFill="1" applyBorder="1"/>
    <xf numFmtId="10" fontId="0" fillId="0" borderId="2" xfId="0" applyNumberFormat="1" applyFill="1" applyBorder="1"/>
    <xf numFmtId="1" fontId="0" fillId="0" borderId="0" xfId="5" applyNumberFormat="1" applyFont="1" applyFill="1" applyBorder="1"/>
    <xf numFmtId="164" fontId="0" fillId="0" borderId="0" xfId="5" applyNumberFormat="1" applyFont="1"/>
    <xf numFmtId="10" fontId="0" fillId="0" borderId="0" xfId="0" applyNumberFormat="1"/>
    <xf numFmtId="0" fontId="6" fillId="0" borderId="0" xfId="0" applyFont="1"/>
    <xf numFmtId="3" fontId="7" fillId="0" borderId="0" xfId="0" applyNumberFormat="1" applyFont="1"/>
    <xf numFmtId="0" fontId="5" fillId="0" borderId="0" xfId="0" applyFont="1"/>
    <xf numFmtId="0" fontId="8" fillId="0" borderId="0" xfId="0" applyFont="1"/>
    <xf numFmtId="3" fontId="9" fillId="0" borderId="0" xfId="0" applyNumberFormat="1" applyFont="1"/>
    <xf numFmtId="0" fontId="9" fillId="0" borderId="0" xfId="0" applyFont="1"/>
    <xf numFmtId="0" fontId="0" fillId="0" borderId="0" xfId="0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/>
    <xf numFmtId="0" fontId="0" fillId="0" borderId="2" xfId="0" applyBorder="1"/>
    <xf numFmtId="0" fontId="0" fillId="0" borderId="6" xfId="0" applyFill="1" applyBorder="1"/>
    <xf numFmtId="165" fontId="0" fillId="0" borderId="2" xfId="5" applyNumberFormat="1" applyFont="1" applyFill="1" applyBorder="1"/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/>
    <xf numFmtId="3" fontId="0" fillId="0" borderId="0" xfId="0" applyNumberFormat="1" applyBorder="1"/>
    <xf numFmtId="0" fontId="0" fillId="0" borderId="9" xfId="0" applyBorder="1"/>
    <xf numFmtId="3" fontId="0" fillId="0" borderId="9" xfId="0" applyNumberFormat="1" applyBorder="1"/>
    <xf numFmtId="0" fontId="0" fillId="0" borderId="1" xfId="0" applyBorder="1"/>
    <xf numFmtId="3" fontId="0" fillId="0" borderId="1" xfId="0" applyNumberFormat="1" applyBorder="1"/>
    <xf numFmtId="166" fontId="0" fillId="0" borderId="0" xfId="6" applyNumberFormat="1" applyFont="1"/>
    <xf numFmtId="10" fontId="0" fillId="0" borderId="1" xfId="0" applyNumberFormat="1" applyBorder="1"/>
    <xf numFmtId="10" fontId="0" fillId="3" borderId="0" xfId="5" applyNumberFormat="1" applyFont="1" applyFill="1"/>
    <xf numFmtId="10" fontId="0" fillId="3" borderId="0" xfId="0" applyNumberFormat="1" applyFill="1"/>
    <xf numFmtId="10" fontId="9" fillId="0" borderId="0" xfId="0" applyNumberFormat="1" applyFont="1"/>
    <xf numFmtId="10" fontId="0" fillId="0" borderId="0" xfId="5" applyNumberFormat="1" applyFont="1" applyFill="1"/>
    <xf numFmtId="10" fontId="0" fillId="0" borderId="0" xfId="0" applyNumberFormat="1" applyFill="1"/>
    <xf numFmtId="166" fontId="0" fillId="0" borderId="0" xfId="0" applyNumberFormat="1"/>
    <xf numFmtId="0" fontId="0" fillId="0" borderId="0" xfId="0" applyFill="1" applyBorder="1"/>
    <xf numFmtId="10" fontId="0" fillId="0" borderId="0" xfId="5" applyNumberFormat="1" applyFont="1"/>
    <xf numFmtId="0" fontId="5" fillId="0" borderId="7" xfId="0" applyFont="1" applyBorder="1"/>
    <xf numFmtId="0" fontId="0" fillId="0" borderId="7" xfId="0" applyBorder="1"/>
    <xf numFmtId="3" fontId="0" fillId="0" borderId="7" xfId="0" applyNumberFormat="1" applyBorder="1"/>
    <xf numFmtId="166" fontId="0" fillId="0" borderId="7" xfId="6" applyNumberFormat="1" applyFont="1" applyBorder="1"/>
    <xf numFmtId="3" fontId="0" fillId="0" borderId="10" xfId="0" applyNumberFormat="1" applyBorder="1"/>
    <xf numFmtId="0" fontId="10" fillId="0" borderId="0" xfId="0" applyFont="1"/>
    <xf numFmtId="0" fontId="11" fillId="0" borderId="0" xfId="0" applyFont="1"/>
    <xf numFmtId="3" fontId="0" fillId="0" borderId="3" xfId="0" applyNumberFormat="1" applyBorder="1"/>
    <xf numFmtId="10" fontId="0" fillId="0" borderId="3" xfId="0" applyNumberFormat="1" applyBorder="1"/>
    <xf numFmtId="3" fontId="0" fillId="0" borderId="5" xfId="0" applyNumberFormat="1" applyBorder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39">
    <cellStyle name="Comma" xfId="6" builtinId="3"/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  <cellStyle name="Percent" xfId="5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B1" workbookViewId="0">
      <selection activeCell="G18" sqref="G18"/>
    </sheetView>
  </sheetViews>
  <sheetFormatPr baseColWidth="10" defaultRowHeight="15" x14ac:dyDescent="0"/>
  <cols>
    <col min="2" max="2" width="43.33203125" customWidth="1"/>
    <col min="3" max="3" width="15" customWidth="1"/>
    <col min="4" max="4" width="12.5" bestFit="1" customWidth="1"/>
  </cols>
  <sheetData>
    <row r="1" spans="1:10">
      <c r="A1" t="s">
        <v>11</v>
      </c>
      <c r="B1" t="s">
        <v>12</v>
      </c>
    </row>
    <row r="2" spans="1:10">
      <c r="A2" t="s">
        <v>13</v>
      </c>
    </row>
    <row r="3" spans="1:10">
      <c r="A3" t="s">
        <v>10</v>
      </c>
    </row>
    <row r="4" spans="1:10">
      <c r="C4" s="14" t="s">
        <v>272</v>
      </c>
      <c r="E4" s="14" t="s">
        <v>273</v>
      </c>
      <c r="G4" s="14" t="s">
        <v>274</v>
      </c>
      <c r="I4" s="14" t="s">
        <v>275</v>
      </c>
    </row>
    <row r="5" spans="1:10">
      <c r="C5" t="s">
        <v>126</v>
      </c>
      <c r="E5" t="s">
        <v>127</v>
      </c>
      <c r="G5" t="s">
        <v>128</v>
      </c>
      <c r="I5" t="s">
        <v>129</v>
      </c>
    </row>
    <row r="6" spans="1:10">
      <c r="C6" t="s">
        <v>15</v>
      </c>
      <c r="D6" t="s">
        <v>16</v>
      </c>
      <c r="E6" t="s">
        <v>15</v>
      </c>
      <c r="F6" t="s">
        <v>16</v>
      </c>
      <c r="G6" t="s">
        <v>15</v>
      </c>
      <c r="H6" t="s">
        <v>16</v>
      </c>
      <c r="I6" t="s">
        <v>15</v>
      </c>
      <c r="J6" t="s">
        <v>16</v>
      </c>
    </row>
    <row r="7" spans="1:10">
      <c r="B7" t="s">
        <v>17</v>
      </c>
      <c r="C7" s="1">
        <v>146527</v>
      </c>
      <c r="D7" t="s">
        <v>130</v>
      </c>
      <c r="E7" s="1">
        <v>305939</v>
      </c>
      <c r="F7" t="s">
        <v>131</v>
      </c>
      <c r="G7" s="1">
        <v>201771</v>
      </c>
      <c r="H7" t="s">
        <v>132</v>
      </c>
      <c r="I7" s="1">
        <v>158855</v>
      </c>
      <c r="J7" t="s">
        <v>133</v>
      </c>
    </row>
    <row r="8" spans="1:10">
      <c r="B8" t="s">
        <v>18</v>
      </c>
      <c r="C8" s="1">
        <v>100826</v>
      </c>
      <c r="D8" t="s">
        <v>134</v>
      </c>
      <c r="E8" s="1">
        <v>165713</v>
      </c>
      <c r="F8" t="s">
        <v>135</v>
      </c>
      <c r="G8" s="1">
        <v>122999</v>
      </c>
      <c r="H8" t="s">
        <v>136</v>
      </c>
      <c r="I8" s="1">
        <v>103213</v>
      </c>
      <c r="J8" t="s">
        <v>137</v>
      </c>
    </row>
    <row r="9" spans="1:10">
      <c r="B9" t="s">
        <v>19</v>
      </c>
      <c r="C9" s="1">
        <v>45701</v>
      </c>
      <c r="D9" t="s">
        <v>138</v>
      </c>
      <c r="E9" s="1">
        <v>140226</v>
      </c>
      <c r="F9" t="s">
        <v>139</v>
      </c>
      <c r="G9" s="1">
        <v>78772</v>
      </c>
      <c r="H9" t="s">
        <v>140</v>
      </c>
      <c r="I9" s="1">
        <v>55642</v>
      </c>
      <c r="J9" t="s">
        <v>141</v>
      </c>
    </row>
    <row r="13" spans="1:10">
      <c r="C13" t="s">
        <v>281</v>
      </c>
      <c r="D13" t="s">
        <v>278</v>
      </c>
    </row>
    <row r="14" spans="1:10">
      <c r="B14" t="s">
        <v>204</v>
      </c>
      <c r="C14">
        <f>D32</f>
        <v>813092</v>
      </c>
      <c r="D14">
        <f>E32</f>
        <v>2205</v>
      </c>
    </row>
    <row r="15" spans="1:10">
      <c r="B15" t="s">
        <v>205</v>
      </c>
      <c r="C15" s="41">
        <f>D26</f>
        <v>320341</v>
      </c>
      <c r="D15">
        <f>E26</f>
        <v>2875</v>
      </c>
    </row>
    <row r="16" spans="1:10">
      <c r="B16" t="s">
        <v>206</v>
      </c>
      <c r="C16" s="10">
        <v>0.39400000000000002</v>
      </c>
      <c r="D16" s="43">
        <v>3.7000000000000002E-3</v>
      </c>
    </row>
    <row r="20" spans="3:5">
      <c r="C20" s="14"/>
    </row>
    <row r="22" spans="3:5">
      <c r="C22" s="14" t="s">
        <v>279</v>
      </c>
    </row>
    <row r="23" spans="3:5">
      <c r="D23" t="s">
        <v>277</v>
      </c>
      <c r="E23" t="s">
        <v>278</v>
      </c>
    </row>
    <row r="24" spans="3:5">
      <c r="C24" t="s">
        <v>276</v>
      </c>
      <c r="D24" s="34">
        <v>185927</v>
      </c>
      <c r="E24">
        <v>2268</v>
      </c>
    </row>
    <row r="25" spans="3:5">
      <c r="C25" t="s">
        <v>286</v>
      </c>
      <c r="D25" s="34">
        <v>264699</v>
      </c>
      <c r="E25">
        <v>2617</v>
      </c>
    </row>
    <row r="26" spans="3:5">
      <c r="C26" t="s">
        <v>287</v>
      </c>
      <c r="D26" s="34">
        <v>320341</v>
      </c>
      <c r="E26">
        <v>2875</v>
      </c>
    </row>
    <row r="28" spans="3:5">
      <c r="C28" s="14" t="s">
        <v>280</v>
      </c>
    </row>
    <row r="29" spans="3:5">
      <c r="D29" t="s">
        <v>277</v>
      </c>
      <c r="E29" t="s">
        <v>278</v>
      </c>
    </row>
    <row r="30" spans="3:5">
      <c r="C30" t="s">
        <v>276</v>
      </c>
      <c r="D30">
        <v>452466</v>
      </c>
      <c r="E30">
        <v>1759</v>
      </c>
    </row>
    <row r="31" spans="3:5">
      <c r="C31" t="s">
        <v>288</v>
      </c>
      <c r="D31">
        <v>654237</v>
      </c>
      <c r="E31">
        <v>2011</v>
      </c>
    </row>
    <row r="32" spans="3:5">
      <c r="C32" t="s">
        <v>289</v>
      </c>
      <c r="D32">
        <v>813092</v>
      </c>
      <c r="E32">
        <v>2205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C15" sqref="C15"/>
    </sheetView>
  </sheetViews>
  <sheetFormatPr baseColWidth="10" defaultRowHeight="15" x14ac:dyDescent="0"/>
  <cols>
    <col min="1" max="1" width="43.5" customWidth="1"/>
    <col min="2" max="2" width="13.1640625" bestFit="1" customWidth="1"/>
  </cols>
  <sheetData>
    <row r="1" spans="1:17">
      <c r="A1" t="s">
        <v>20</v>
      </c>
      <c r="B1" t="s">
        <v>21</v>
      </c>
    </row>
    <row r="2" spans="1:17">
      <c r="A2" t="s">
        <v>10</v>
      </c>
    </row>
    <row r="3" spans="1:17">
      <c r="C3" t="s">
        <v>272</v>
      </c>
      <c r="F3" t="s">
        <v>273</v>
      </c>
      <c r="J3" t="s">
        <v>274</v>
      </c>
      <c r="N3" t="s">
        <v>275</v>
      </c>
    </row>
    <row r="4" spans="1:17">
      <c r="C4" t="s">
        <v>126</v>
      </c>
      <c r="F4" t="s">
        <v>127</v>
      </c>
      <c r="J4" t="s">
        <v>128</v>
      </c>
      <c r="N4" t="s">
        <v>129</v>
      </c>
    </row>
    <row r="5" spans="1:17">
      <c r="A5" t="s">
        <v>65</v>
      </c>
      <c r="B5" t="s">
        <v>15</v>
      </c>
      <c r="C5" t="s">
        <v>16</v>
      </c>
      <c r="D5" t="s">
        <v>41</v>
      </c>
      <c r="E5" t="s">
        <v>146</v>
      </c>
      <c r="F5" t="s">
        <v>15</v>
      </c>
      <c r="G5" t="s">
        <v>16</v>
      </c>
      <c r="H5" t="s">
        <v>41</v>
      </c>
      <c r="I5" t="s">
        <v>146</v>
      </c>
      <c r="J5" t="s">
        <v>15</v>
      </c>
      <c r="K5" t="s">
        <v>16</v>
      </c>
      <c r="L5" t="s">
        <v>41</v>
      </c>
      <c r="M5" t="s">
        <v>146</v>
      </c>
      <c r="N5" t="s">
        <v>15</v>
      </c>
      <c r="O5" t="s">
        <v>16</v>
      </c>
      <c r="P5" t="s">
        <v>41</v>
      </c>
      <c r="Q5" t="s">
        <v>146</v>
      </c>
    </row>
    <row r="6" spans="1:17">
      <c r="A6" t="s">
        <v>197</v>
      </c>
      <c r="B6" s="1">
        <v>320108</v>
      </c>
      <c r="C6" t="s">
        <v>147</v>
      </c>
      <c r="D6" s="11">
        <v>0.84099999999999997</v>
      </c>
      <c r="E6" t="s">
        <v>148</v>
      </c>
      <c r="F6" s="1">
        <v>538073</v>
      </c>
      <c r="G6" t="s">
        <v>149</v>
      </c>
      <c r="H6" s="11">
        <v>0.72</v>
      </c>
      <c r="I6" t="s">
        <v>148</v>
      </c>
      <c r="J6" s="1">
        <v>373709</v>
      </c>
      <c r="K6" t="s">
        <v>150</v>
      </c>
      <c r="L6" s="11">
        <v>0.69299999999999995</v>
      </c>
      <c r="M6" t="s">
        <v>148</v>
      </c>
      <c r="N6" s="1">
        <v>351705</v>
      </c>
      <c r="O6" t="s">
        <v>151</v>
      </c>
      <c r="P6" s="11">
        <v>0.81299999999999994</v>
      </c>
      <c r="Q6" t="s">
        <v>148</v>
      </c>
    </row>
    <row r="7" spans="1:17">
      <c r="A7" s="32" t="s">
        <v>39</v>
      </c>
      <c r="B7" s="33">
        <v>380532</v>
      </c>
      <c r="C7" s="32" t="s">
        <v>152</v>
      </c>
      <c r="D7" s="33">
        <v>380532</v>
      </c>
      <c r="E7" s="32" t="s">
        <v>153</v>
      </c>
      <c r="F7" s="33">
        <v>747641</v>
      </c>
      <c r="G7" s="32" t="s">
        <v>152</v>
      </c>
      <c r="H7" s="33">
        <v>747641</v>
      </c>
      <c r="I7" s="32" t="s">
        <v>153</v>
      </c>
      <c r="J7" s="33">
        <v>539608</v>
      </c>
      <c r="K7" s="32" t="s">
        <v>152</v>
      </c>
      <c r="L7" s="33">
        <v>539608</v>
      </c>
      <c r="M7" s="32" t="s">
        <v>153</v>
      </c>
      <c r="N7" s="33">
        <v>432549</v>
      </c>
      <c r="O7" s="32" t="s">
        <v>152</v>
      </c>
      <c r="P7" s="33">
        <v>432549</v>
      </c>
      <c r="Q7" s="32" t="s">
        <v>153</v>
      </c>
    </row>
    <row r="8" spans="1:17">
      <c r="A8" s="42" t="s">
        <v>285</v>
      </c>
    </row>
    <row r="11" spans="1:17">
      <c r="B11" t="s">
        <v>15</v>
      </c>
      <c r="C11" t="s">
        <v>40</v>
      </c>
    </row>
    <row r="12" spans="1:17">
      <c r="A12" t="s">
        <v>208</v>
      </c>
      <c r="B12" s="1">
        <f>C26</f>
        <v>2100330</v>
      </c>
      <c r="C12">
        <v>0</v>
      </c>
    </row>
    <row r="13" spans="1:17">
      <c r="A13" t="s">
        <v>209</v>
      </c>
      <c r="B13" s="34">
        <f>C32</f>
        <v>1583595</v>
      </c>
    </row>
    <row r="14" spans="1:17">
      <c r="A14" t="s">
        <v>210</v>
      </c>
      <c r="B14" s="1">
        <v>516735</v>
      </c>
      <c r="C14">
        <v>536</v>
      </c>
    </row>
    <row r="15" spans="1:17">
      <c r="A15" t="s">
        <v>211</v>
      </c>
      <c r="B15" s="10">
        <v>0.246</v>
      </c>
      <c r="C15" s="43">
        <v>2.9999999999999997E-4</v>
      </c>
    </row>
    <row r="17" spans="1:4">
      <c r="A17" t="s">
        <v>207</v>
      </c>
    </row>
    <row r="22" spans="1:4">
      <c r="C22" s="14" t="s">
        <v>282</v>
      </c>
    </row>
    <row r="23" spans="1:4">
      <c r="C23" t="s">
        <v>277</v>
      </c>
      <c r="D23" t="s">
        <v>283</v>
      </c>
    </row>
    <row r="24" spans="1:4">
      <c r="B24" t="s">
        <v>276</v>
      </c>
      <c r="C24" s="1">
        <f>B7+F7</f>
        <v>1128173</v>
      </c>
    </row>
    <row r="25" spans="1:4">
      <c r="B25" t="s">
        <v>286</v>
      </c>
      <c r="C25" s="1">
        <f>C24+J7</f>
        <v>1667781</v>
      </c>
    </row>
    <row r="26" spans="1:4">
      <c r="B26" t="s">
        <v>289</v>
      </c>
      <c r="C26" s="1">
        <f>C25+N7</f>
        <v>2100330</v>
      </c>
    </row>
    <row r="27" spans="1:4">
      <c r="C27" s="1"/>
    </row>
    <row r="28" spans="1:4">
      <c r="C28" s="14" t="s">
        <v>284</v>
      </c>
    </row>
    <row r="29" spans="1:4">
      <c r="C29" t="s">
        <v>277</v>
      </c>
      <c r="D29" t="s">
        <v>283</v>
      </c>
    </row>
    <row r="30" spans="1:4">
      <c r="B30" t="s">
        <v>276</v>
      </c>
      <c r="C30" s="1">
        <v>858181</v>
      </c>
      <c r="D30">
        <v>399</v>
      </c>
    </row>
    <row r="31" spans="1:4">
      <c r="B31" t="s">
        <v>286</v>
      </c>
      <c r="C31" s="1">
        <v>1231890</v>
      </c>
      <c r="D31">
        <v>481</v>
      </c>
    </row>
    <row r="32" spans="1:4">
      <c r="B32" t="s">
        <v>289</v>
      </c>
      <c r="C32">
        <v>1583595</v>
      </c>
      <c r="D32">
        <v>536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opLeftCell="A7" workbookViewId="0">
      <pane xSplit="1" topLeftCell="B1" activePane="topRight" state="frozen"/>
      <selection pane="topRight" activeCell="F38" sqref="F38"/>
    </sheetView>
  </sheetViews>
  <sheetFormatPr baseColWidth="10" defaultRowHeight="15" x14ac:dyDescent="0"/>
  <cols>
    <col min="1" max="1" width="38.6640625" customWidth="1"/>
    <col min="2" max="2" width="11.5" bestFit="1" customWidth="1"/>
    <col min="6" max="6" width="27" customWidth="1"/>
    <col min="10" max="10" width="29.1640625" customWidth="1"/>
    <col min="14" max="14" width="21.33203125" customWidth="1"/>
  </cols>
  <sheetData>
    <row r="1" spans="1:17">
      <c r="A1" t="s">
        <v>193</v>
      </c>
      <c r="B1" t="s">
        <v>194</v>
      </c>
    </row>
    <row r="2" spans="1:17">
      <c r="A2" t="s">
        <v>10</v>
      </c>
    </row>
    <row r="3" spans="1:17">
      <c r="B3" s="14" t="s">
        <v>272</v>
      </c>
      <c r="F3" s="44" t="s">
        <v>273</v>
      </c>
      <c r="J3" s="44" t="s">
        <v>274</v>
      </c>
      <c r="N3" s="44" t="s">
        <v>275</v>
      </c>
    </row>
    <row r="4" spans="1:17">
      <c r="B4" t="s">
        <v>126</v>
      </c>
      <c r="F4" s="45" t="s">
        <v>127</v>
      </c>
      <c r="J4" s="45" t="s">
        <v>128</v>
      </c>
      <c r="N4" s="45" t="s">
        <v>129</v>
      </c>
    </row>
    <row r="5" spans="1:17">
      <c r="B5" t="s">
        <v>15</v>
      </c>
      <c r="C5" t="s">
        <v>16</v>
      </c>
      <c r="D5" t="s">
        <v>41</v>
      </c>
      <c r="E5" t="s">
        <v>146</v>
      </c>
      <c r="F5" s="45" t="s">
        <v>15</v>
      </c>
      <c r="G5" t="s">
        <v>16</v>
      </c>
      <c r="H5" t="s">
        <v>41</v>
      </c>
      <c r="I5" t="s">
        <v>146</v>
      </c>
      <c r="J5" s="45" t="s">
        <v>15</v>
      </c>
      <c r="K5" t="s">
        <v>16</v>
      </c>
      <c r="L5" t="s">
        <v>41</v>
      </c>
      <c r="M5" t="s">
        <v>146</v>
      </c>
      <c r="N5" s="45" t="s">
        <v>15</v>
      </c>
      <c r="O5" t="s">
        <v>16</v>
      </c>
      <c r="P5" t="s">
        <v>41</v>
      </c>
      <c r="Q5" t="s">
        <v>146</v>
      </c>
    </row>
    <row r="6" spans="1:17">
      <c r="A6" t="s">
        <v>156</v>
      </c>
      <c r="B6" s="14"/>
      <c r="F6" s="45"/>
      <c r="H6" s="14"/>
      <c r="J6" s="45"/>
      <c r="N6" s="44"/>
    </row>
    <row r="7" spans="1:17">
      <c r="A7" t="s">
        <v>42</v>
      </c>
      <c r="B7" s="1">
        <v>262115</v>
      </c>
      <c r="C7" t="s">
        <v>157</v>
      </c>
      <c r="D7" s="1">
        <v>262115</v>
      </c>
      <c r="E7" t="s">
        <v>153</v>
      </c>
      <c r="F7" s="46">
        <v>526883</v>
      </c>
      <c r="G7" t="s">
        <v>158</v>
      </c>
      <c r="H7" s="1">
        <v>526883</v>
      </c>
      <c r="I7" t="s">
        <v>153</v>
      </c>
      <c r="J7" s="46">
        <v>358891</v>
      </c>
      <c r="K7" t="s">
        <v>159</v>
      </c>
      <c r="L7" s="1">
        <v>358891</v>
      </c>
      <c r="M7" t="s">
        <v>153</v>
      </c>
      <c r="N7" s="46">
        <v>283431</v>
      </c>
      <c r="O7" t="s">
        <v>160</v>
      </c>
      <c r="P7" s="1">
        <v>283431</v>
      </c>
      <c r="Q7" t="s">
        <v>153</v>
      </c>
    </row>
    <row r="8" spans="1:17">
      <c r="A8" t="s">
        <v>46</v>
      </c>
      <c r="B8" s="1">
        <v>6315</v>
      </c>
      <c r="C8" t="s">
        <v>161</v>
      </c>
      <c r="D8" s="1">
        <v>2.4E-2</v>
      </c>
      <c r="E8" t="s">
        <v>162</v>
      </c>
      <c r="F8" s="46">
        <v>22919</v>
      </c>
      <c r="G8" t="s">
        <v>163</v>
      </c>
      <c r="H8" s="1">
        <v>4.2999999999999997E-2</v>
      </c>
      <c r="I8" t="s">
        <v>162</v>
      </c>
      <c r="J8" s="46">
        <v>15428</v>
      </c>
      <c r="K8" t="s">
        <v>164</v>
      </c>
      <c r="L8" s="1">
        <v>4.2999999999999997E-2</v>
      </c>
      <c r="M8" t="s">
        <v>165</v>
      </c>
      <c r="N8" s="46">
        <v>7568</v>
      </c>
      <c r="O8" t="s">
        <v>166</v>
      </c>
      <c r="P8" s="1">
        <v>2.7E-2</v>
      </c>
      <c r="Q8" t="s">
        <v>162</v>
      </c>
    </row>
    <row r="9" spans="1:17">
      <c r="A9" t="s">
        <v>49</v>
      </c>
      <c r="B9" s="34">
        <v>13555</v>
      </c>
      <c r="C9" t="s">
        <v>167</v>
      </c>
      <c r="D9" s="11">
        <v>5.1999999999999998E-2</v>
      </c>
      <c r="E9" t="s">
        <v>165</v>
      </c>
      <c r="F9" s="47">
        <v>31265</v>
      </c>
      <c r="G9" t="s">
        <v>168</v>
      </c>
      <c r="H9" s="11">
        <v>5.8999999999999997E-2</v>
      </c>
      <c r="I9" t="s">
        <v>162</v>
      </c>
      <c r="J9" s="47">
        <v>17607</v>
      </c>
      <c r="K9" t="s">
        <v>169</v>
      </c>
      <c r="L9" s="11">
        <v>4.9000000000000002E-2</v>
      </c>
      <c r="M9" t="s">
        <v>165</v>
      </c>
      <c r="N9" s="47">
        <v>17052</v>
      </c>
      <c r="O9" t="s">
        <v>170</v>
      </c>
      <c r="P9" s="11">
        <v>0.06</v>
      </c>
      <c r="Q9" t="s">
        <v>165</v>
      </c>
    </row>
    <row r="10" spans="1:17">
      <c r="A10" t="s">
        <v>52</v>
      </c>
      <c r="B10" s="34">
        <v>62296</v>
      </c>
      <c r="C10" t="s">
        <v>171</v>
      </c>
      <c r="D10" s="11">
        <v>0.23799999999999999</v>
      </c>
      <c r="E10" t="s">
        <v>64</v>
      </c>
      <c r="F10" s="47">
        <v>101291</v>
      </c>
      <c r="G10" t="s">
        <v>172</v>
      </c>
      <c r="H10" s="11">
        <v>0.192</v>
      </c>
      <c r="I10" t="s">
        <v>173</v>
      </c>
      <c r="J10" s="47">
        <v>68777</v>
      </c>
      <c r="K10" t="s">
        <v>174</v>
      </c>
      <c r="L10" s="11">
        <v>0.192</v>
      </c>
      <c r="M10" t="s">
        <v>175</v>
      </c>
      <c r="N10" s="47">
        <v>74453</v>
      </c>
      <c r="O10" t="s">
        <v>176</v>
      </c>
      <c r="P10" s="11">
        <v>0.26300000000000001</v>
      </c>
      <c r="Q10" t="s">
        <v>64</v>
      </c>
    </row>
    <row r="11" spans="1:17">
      <c r="A11" t="s">
        <v>55</v>
      </c>
      <c r="B11" s="1">
        <v>75285</v>
      </c>
      <c r="C11" t="s">
        <v>177</v>
      </c>
      <c r="D11" s="11">
        <v>0.28699999999999998</v>
      </c>
      <c r="E11" t="s">
        <v>63</v>
      </c>
      <c r="F11" s="46">
        <v>124454</v>
      </c>
      <c r="G11" t="s">
        <v>178</v>
      </c>
      <c r="H11" s="11">
        <v>0.23599999999999999</v>
      </c>
      <c r="I11" t="s">
        <v>175</v>
      </c>
      <c r="J11" s="46">
        <v>85356</v>
      </c>
      <c r="K11" t="s">
        <v>179</v>
      </c>
      <c r="L11" s="11">
        <v>0.23799999999999999</v>
      </c>
      <c r="M11" t="s">
        <v>175</v>
      </c>
      <c r="N11" s="46">
        <v>81157</v>
      </c>
      <c r="O11" t="s">
        <v>180</v>
      </c>
      <c r="P11" s="11">
        <v>0.28599999999999998</v>
      </c>
      <c r="Q11" t="s">
        <v>63</v>
      </c>
    </row>
    <row r="12" spans="1:17" s="22" customFormat="1" ht="16" thickBot="1">
      <c r="A12" s="22" t="s">
        <v>57</v>
      </c>
      <c r="B12" s="51">
        <v>21265</v>
      </c>
      <c r="C12" s="22" t="s">
        <v>181</v>
      </c>
      <c r="D12" s="52">
        <v>8.1000000000000003E-2</v>
      </c>
      <c r="E12" s="22" t="s">
        <v>173</v>
      </c>
      <c r="F12" s="53">
        <v>36860</v>
      </c>
      <c r="G12" s="22" t="s">
        <v>182</v>
      </c>
      <c r="H12" s="52">
        <v>7.0000000000000007E-2</v>
      </c>
      <c r="I12" s="22" t="s">
        <v>162</v>
      </c>
      <c r="J12" s="53">
        <v>30427</v>
      </c>
      <c r="K12" s="22" t="s">
        <v>183</v>
      </c>
      <c r="L12" s="52">
        <v>8.5000000000000006E-2</v>
      </c>
      <c r="M12" s="22" t="s">
        <v>165</v>
      </c>
      <c r="N12" s="53">
        <v>29553</v>
      </c>
      <c r="O12" s="22" t="s">
        <v>184</v>
      </c>
      <c r="P12" s="52">
        <v>0.104</v>
      </c>
      <c r="Q12" s="22" t="s">
        <v>173</v>
      </c>
    </row>
    <row r="13" spans="1:17" hidden="1">
      <c r="A13" t="s">
        <v>60</v>
      </c>
      <c r="B13" s="1">
        <v>54704</v>
      </c>
      <c r="C13" t="s">
        <v>185</v>
      </c>
      <c r="D13" s="11">
        <v>0.20899999999999999</v>
      </c>
      <c r="E13" t="s">
        <v>63</v>
      </c>
      <c r="F13" s="46">
        <v>127473</v>
      </c>
      <c r="G13" t="s">
        <v>186</v>
      </c>
      <c r="H13" s="11">
        <v>0.24199999999999999</v>
      </c>
      <c r="I13" t="s">
        <v>173</v>
      </c>
      <c r="J13" s="46">
        <v>91829</v>
      </c>
      <c r="K13" t="s">
        <v>187</v>
      </c>
      <c r="L13" s="11">
        <v>0.25600000000000001</v>
      </c>
      <c r="M13" t="s">
        <v>63</v>
      </c>
      <c r="N13" s="46">
        <v>47901</v>
      </c>
      <c r="O13" t="s">
        <v>188</v>
      </c>
      <c r="P13" s="11">
        <v>0.16900000000000001</v>
      </c>
      <c r="Q13" t="s">
        <v>175</v>
      </c>
    </row>
    <row r="14" spans="1:17" hidden="1">
      <c r="A14" s="32" t="s">
        <v>62</v>
      </c>
      <c r="B14" s="33">
        <v>28695</v>
      </c>
      <c r="C14" s="32" t="s">
        <v>189</v>
      </c>
      <c r="D14" s="35">
        <v>0.109</v>
      </c>
      <c r="E14" s="32" t="s">
        <v>173</v>
      </c>
      <c r="F14" s="48">
        <v>82621</v>
      </c>
      <c r="G14" s="32" t="s">
        <v>190</v>
      </c>
      <c r="H14" s="35">
        <v>0.157</v>
      </c>
      <c r="I14" s="32" t="s">
        <v>173</v>
      </c>
      <c r="J14" s="48">
        <v>49467</v>
      </c>
      <c r="K14" s="32" t="s">
        <v>191</v>
      </c>
      <c r="L14" s="35">
        <v>0.13800000000000001</v>
      </c>
      <c r="M14" s="32" t="s">
        <v>173</v>
      </c>
      <c r="N14" s="48">
        <v>25747</v>
      </c>
      <c r="O14" s="32" t="s">
        <v>192</v>
      </c>
      <c r="P14" s="35">
        <v>9.0999999999999998E-2</v>
      </c>
      <c r="Q14" s="32" t="s">
        <v>173</v>
      </c>
    </row>
    <row r="16" spans="1:17">
      <c r="B16" s="14" t="s">
        <v>272</v>
      </c>
      <c r="F16" s="44" t="s">
        <v>273</v>
      </c>
      <c r="J16" s="44" t="s">
        <v>274</v>
      </c>
      <c r="N16" s="44" t="s">
        <v>275</v>
      </c>
    </row>
    <row r="17" spans="1:16">
      <c r="B17" s="14" t="s">
        <v>293</v>
      </c>
      <c r="G17" s="14" t="s">
        <v>293</v>
      </c>
      <c r="K17" s="14" t="s">
        <v>293</v>
      </c>
      <c r="O17" s="14" t="s">
        <v>293</v>
      </c>
    </row>
    <row r="18" spans="1:16">
      <c r="B18" t="s">
        <v>277</v>
      </c>
      <c r="C18" t="s">
        <v>283</v>
      </c>
      <c r="G18" t="s">
        <v>277</v>
      </c>
      <c r="H18" t="s">
        <v>283</v>
      </c>
      <c r="K18" t="s">
        <v>277</v>
      </c>
      <c r="L18" t="s">
        <v>283</v>
      </c>
      <c r="O18" t="s">
        <v>277</v>
      </c>
      <c r="P18" t="s">
        <v>283</v>
      </c>
    </row>
    <row r="19" spans="1:16">
      <c r="A19" t="s">
        <v>46</v>
      </c>
      <c r="F19" t="s">
        <v>46</v>
      </c>
      <c r="J19" t="s">
        <v>46</v>
      </c>
      <c r="N19" t="s">
        <v>46</v>
      </c>
    </row>
    <row r="20" spans="1:16">
      <c r="A20" t="s">
        <v>49</v>
      </c>
      <c r="B20">
        <v>19870</v>
      </c>
      <c r="C20">
        <v>929</v>
      </c>
      <c r="F20" t="s">
        <v>49</v>
      </c>
      <c r="G20">
        <v>54184</v>
      </c>
      <c r="H20">
        <v>1710</v>
      </c>
      <c r="J20" t="s">
        <v>49</v>
      </c>
      <c r="K20">
        <v>33035</v>
      </c>
      <c r="L20">
        <v>1548</v>
      </c>
      <c r="N20" t="s">
        <v>49</v>
      </c>
      <c r="O20">
        <v>24620</v>
      </c>
      <c r="P20">
        <v>1113</v>
      </c>
    </row>
    <row r="21" spans="1:16" ht="20">
      <c r="A21" t="s">
        <v>52</v>
      </c>
      <c r="B21" s="49">
        <v>82166</v>
      </c>
      <c r="C21">
        <v>1974</v>
      </c>
      <c r="F21" t="s">
        <v>52</v>
      </c>
      <c r="G21">
        <v>155475</v>
      </c>
      <c r="H21">
        <v>2670</v>
      </c>
      <c r="J21" t="s">
        <v>52</v>
      </c>
      <c r="K21">
        <v>101812</v>
      </c>
      <c r="L21">
        <v>2377</v>
      </c>
      <c r="N21" t="s">
        <v>52</v>
      </c>
      <c r="O21">
        <v>99073</v>
      </c>
      <c r="P21">
        <v>2168</v>
      </c>
    </row>
    <row r="22" spans="1:16" ht="20">
      <c r="A22" t="s">
        <v>55</v>
      </c>
      <c r="B22" s="49">
        <v>157451</v>
      </c>
      <c r="C22" s="50">
        <v>2522</v>
      </c>
      <c r="F22" t="s">
        <v>55</v>
      </c>
      <c r="G22">
        <v>279929</v>
      </c>
      <c r="H22">
        <v>3645</v>
      </c>
      <c r="J22" t="s">
        <v>55</v>
      </c>
      <c r="K22">
        <v>187168</v>
      </c>
      <c r="L22">
        <v>3075</v>
      </c>
      <c r="N22" t="s">
        <v>55</v>
      </c>
      <c r="O22">
        <v>180230</v>
      </c>
      <c r="P22">
        <v>2775</v>
      </c>
    </row>
    <row r="23" spans="1:16">
      <c r="A23" t="s">
        <v>57</v>
      </c>
      <c r="B23">
        <v>178716</v>
      </c>
      <c r="C23">
        <v>2708</v>
      </c>
      <c r="F23" t="s">
        <v>57</v>
      </c>
      <c r="G23">
        <v>316789</v>
      </c>
      <c r="H23">
        <v>3866</v>
      </c>
      <c r="J23" t="s">
        <v>57</v>
      </c>
      <c r="K23">
        <v>217595</v>
      </c>
      <c r="L23">
        <v>3262</v>
      </c>
      <c r="N23" t="s">
        <v>57</v>
      </c>
      <c r="O23">
        <v>209783</v>
      </c>
      <c r="P23">
        <v>2514</v>
      </c>
    </row>
    <row r="27" spans="1:16">
      <c r="B27" t="s">
        <v>15</v>
      </c>
      <c r="C27" t="s">
        <v>40</v>
      </c>
    </row>
    <row r="28" spans="1:16">
      <c r="A28" t="s">
        <v>290</v>
      </c>
      <c r="B28" s="1">
        <f>C36</f>
        <v>1431320</v>
      </c>
      <c r="C28">
        <f>D36</f>
        <v>183</v>
      </c>
    </row>
    <row r="29" spans="1:16">
      <c r="A29" t="s">
        <v>291</v>
      </c>
      <c r="B29">
        <v>922883</v>
      </c>
      <c r="C29">
        <v>6265</v>
      </c>
    </row>
    <row r="30" spans="1:16">
      <c r="A30" t="s">
        <v>292</v>
      </c>
      <c r="B30" s="43">
        <v>0.64480000000000004</v>
      </c>
      <c r="C30" s="43">
        <v>4.4000000000000003E-3</v>
      </c>
    </row>
    <row r="32" spans="1:16">
      <c r="C32" s="14" t="s">
        <v>282</v>
      </c>
    </row>
    <row r="33" spans="2:4">
      <c r="C33" t="s">
        <v>277</v>
      </c>
      <c r="D33" t="s">
        <v>283</v>
      </c>
    </row>
    <row r="34" spans="2:4">
      <c r="B34" t="s">
        <v>276</v>
      </c>
      <c r="C34" s="1">
        <v>788998</v>
      </c>
      <c r="D34">
        <v>167</v>
      </c>
    </row>
    <row r="35" spans="2:4">
      <c r="B35" t="s">
        <v>286</v>
      </c>
      <c r="C35" s="1">
        <v>1147889</v>
      </c>
      <c r="D35">
        <v>214</v>
      </c>
    </row>
    <row r="36" spans="2:4">
      <c r="B36" t="s">
        <v>289</v>
      </c>
      <c r="C36" s="1">
        <v>1431320</v>
      </c>
      <c r="D36">
        <v>183</v>
      </c>
    </row>
    <row r="37" spans="2:4">
      <c r="C37" s="1"/>
    </row>
    <row r="38" spans="2:4">
      <c r="C38" s="14" t="s">
        <v>293</v>
      </c>
    </row>
    <row r="39" spans="2:4">
      <c r="C39" t="s">
        <v>277</v>
      </c>
      <c r="D39" t="s">
        <v>283</v>
      </c>
    </row>
    <row r="40" spans="2:4">
      <c r="B40" t="s">
        <v>276</v>
      </c>
      <c r="C40" s="1">
        <v>495505</v>
      </c>
      <c r="D40">
        <v>4720</v>
      </c>
    </row>
    <row r="41" spans="2:4">
      <c r="B41" t="s">
        <v>286</v>
      </c>
      <c r="C41" s="1">
        <v>713100</v>
      </c>
      <c r="D41">
        <v>5738</v>
      </c>
    </row>
    <row r="42" spans="2:4">
      <c r="B42" t="s">
        <v>289</v>
      </c>
      <c r="C42">
        <v>922883</v>
      </c>
      <c r="D42">
        <v>6265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G24" sqref="G24"/>
    </sheetView>
  </sheetViews>
  <sheetFormatPr baseColWidth="10" defaultRowHeight="15" x14ac:dyDescent="0"/>
  <cols>
    <col min="1" max="1" width="31.6640625" customWidth="1"/>
  </cols>
  <sheetData>
    <row r="1" spans="1:17">
      <c r="B1" t="s">
        <v>126</v>
      </c>
      <c r="F1" t="s">
        <v>127</v>
      </c>
      <c r="J1" t="s">
        <v>128</v>
      </c>
      <c r="N1" t="s">
        <v>129</v>
      </c>
    </row>
    <row r="2" spans="1:17">
      <c r="B2" t="s">
        <v>15</v>
      </c>
      <c r="C2" t="s">
        <v>16</v>
      </c>
      <c r="D2" t="s">
        <v>41</v>
      </c>
      <c r="E2" t="s">
        <v>146</v>
      </c>
      <c r="F2" t="s">
        <v>15</v>
      </c>
      <c r="G2" t="s">
        <v>16</v>
      </c>
      <c r="H2" t="s">
        <v>41</v>
      </c>
      <c r="I2" t="s">
        <v>146</v>
      </c>
      <c r="J2" t="s">
        <v>15</v>
      </c>
      <c r="K2" t="s">
        <v>16</v>
      </c>
      <c r="L2" t="s">
        <v>41</v>
      </c>
      <c r="M2" t="s">
        <v>146</v>
      </c>
      <c r="N2" t="s">
        <v>15</v>
      </c>
      <c r="O2" t="s">
        <v>16</v>
      </c>
      <c r="P2" t="s">
        <v>41</v>
      </c>
      <c r="Q2" t="s">
        <v>146</v>
      </c>
    </row>
    <row r="3" spans="1:17">
      <c r="A3" s="15" t="s">
        <v>222</v>
      </c>
      <c r="B3" s="16">
        <v>146527</v>
      </c>
      <c r="C3" s="17" t="s">
        <v>130</v>
      </c>
      <c r="D3" s="16">
        <v>146527</v>
      </c>
      <c r="E3" s="17" t="s">
        <v>153</v>
      </c>
      <c r="F3" s="16">
        <v>305939</v>
      </c>
      <c r="G3" s="17" t="s">
        <v>131</v>
      </c>
      <c r="H3" s="16">
        <v>305939</v>
      </c>
      <c r="I3" s="17" t="s">
        <v>153</v>
      </c>
      <c r="J3" s="16">
        <v>201771</v>
      </c>
      <c r="K3" s="17" t="s">
        <v>132</v>
      </c>
      <c r="L3" s="16">
        <v>201771</v>
      </c>
      <c r="M3" s="17" t="s">
        <v>153</v>
      </c>
      <c r="N3" s="16">
        <v>158855</v>
      </c>
      <c r="O3" s="17" t="s">
        <v>133</v>
      </c>
      <c r="P3" s="16">
        <v>158855</v>
      </c>
      <c r="Q3" s="17" t="s">
        <v>153</v>
      </c>
    </row>
    <row r="4" spans="1:17">
      <c r="A4" s="15" t="s">
        <v>212</v>
      </c>
      <c r="B4" s="16">
        <v>6999</v>
      </c>
      <c r="C4" s="17" t="s">
        <v>223</v>
      </c>
      <c r="D4" s="38">
        <v>4.8000000000000001E-2</v>
      </c>
      <c r="E4" s="17" t="s">
        <v>175</v>
      </c>
      <c r="F4" s="16">
        <v>25696</v>
      </c>
      <c r="G4" s="17" t="s">
        <v>224</v>
      </c>
      <c r="H4" s="38">
        <v>8.4000000000000005E-2</v>
      </c>
      <c r="I4" s="17" t="s">
        <v>173</v>
      </c>
      <c r="J4" s="16">
        <v>9427</v>
      </c>
      <c r="K4" s="17" t="s">
        <v>225</v>
      </c>
      <c r="L4" s="38">
        <v>4.7E-2</v>
      </c>
      <c r="M4" s="17" t="s">
        <v>165</v>
      </c>
      <c r="N4" s="16">
        <v>8046</v>
      </c>
      <c r="O4" s="17" t="s">
        <v>226</v>
      </c>
      <c r="P4" s="38">
        <v>5.0999999999999997E-2</v>
      </c>
      <c r="Q4" s="17" t="s">
        <v>173</v>
      </c>
    </row>
    <row r="5" spans="1:17">
      <c r="A5" s="15" t="s">
        <v>213</v>
      </c>
      <c r="B5" s="16">
        <v>5146</v>
      </c>
      <c r="C5" s="17" t="s">
        <v>227</v>
      </c>
      <c r="D5" s="38">
        <v>3.5000000000000003E-2</v>
      </c>
      <c r="E5" s="17" t="s">
        <v>165</v>
      </c>
      <c r="F5" s="16">
        <v>16509</v>
      </c>
      <c r="G5" s="17" t="s">
        <v>228</v>
      </c>
      <c r="H5" s="38">
        <v>5.3999999999999999E-2</v>
      </c>
      <c r="I5" s="17" t="s">
        <v>165</v>
      </c>
      <c r="J5" s="16">
        <v>7345</v>
      </c>
      <c r="K5" s="17" t="s">
        <v>229</v>
      </c>
      <c r="L5" s="38">
        <v>3.5999999999999997E-2</v>
      </c>
      <c r="M5" s="17" t="s">
        <v>165</v>
      </c>
      <c r="N5" s="16">
        <v>6178</v>
      </c>
      <c r="O5" s="17" t="s">
        <v>230</v>
      </c>
      <c r="P5" s="38">
        <v>3.9E-2</v>
      </c>
      <c r="Q5" s="17" t="s">
        <v>165</v>
      </c>
    </row>
    <row r="6" spans="1:17">
      <c r="A6" s="15" t="s">
        <v>214</v>
      </c>
      <c r="B6" s="16">
        <v>12225</v>
      </c>
      <c r="C6" s="17" t="s">
        <v>231</v>
      </c>
      <c r="D6" s="38">
        <v>8.3000000000000004E-2</v>
      </c>
      <c r="E6" s="17" t="s">
        <v>175</v>
      </c>
      <c r="F6" s="16">
        <v>32049</v>
      </c>
      <c r="G6" s="17" t="s">
        <v>232</v>
      </c>
      <c r="H6" s="38">
        <v>0.105</v>
      </c>
      <c r="I6" s="17" t="s">
        <v>173</v>
      </c>
      <c r="J6" s="16">
        <v>16733</v>
      </c>
      <c r="K6" s="17" t="s">
        <v>233</v>
      </c>
      <c r="L6" s="38">
        <v>8.3000000000000004E-2</v>
      </c>
      <c r="M6" s="17" t="s">
        <v>173</v>
      </c>
      <c r="N6" s="16">
        <v>14092</v>
      </c>
      <c r="O6" s="17" t="s">
        <v>234</v>
      </c>
      <c r="P6" s="38">
        <v>8.8999999999999996E-2</v>
      </c>
      <c r="Q6" s="17" t="s">
        <v>175</v>
      </c>
    </row>
    <row r="7" spans="1:17">
      <c r="A7" s="15" t="s">
        <v>215</v>
      </c>
      <c r="B7" s="16">
        <v>12824</v>
      </c>
      <c r="C7" s="17" t="s">
        <v>235</v>
      </c>
      <c r="D7" s="38">
        <v>8.7999999999999995E-2</v>
      </c>
      <c r="E7" s="17" t="s">
        <v>175</v>
      </c>
      <c r="F7" s="16">
        <v>30914</v>
      </c>
      <c r="G7" s="17" t="s">
        <v>236</v>
      </c>
      <c r="H7" s="38">
        <v>0.10100000000000001</v>
      </c>
      <c r="I7" s="17" t="s">
        <v>173</v>
      </c>
      <c r="J7" s="16">
        <v>18510</v>
      </c>
      <c r="K7" s="17" t="s">
        <v>237</v>
      </c>
      <c r="L7" s="38">
        <v>9.1999999999999998E-2</v>
      </c>
      <c r="M7" s="17" t="s">
        <v>175</v>
      </c>
      <c r="N7" s="16">
        <v>15516</v>
      </c>
      <c r="O7" s="17" t="s">
        <v>238</v>
      </c>
      <c r="P7" s="38">
        <v>9.8000000000000004E-2</v>
      </c>
      <c r="Q7" s="17" t="s">
        <v>175</v>
      </c>
    </row>
    <row r="8" spans="1:17">
      <c r="A8" s="15" t="s">
        <v>216</v>
      </c>
      <c r="B8" s="16">
        <v>19388</v>
      </c>
      <c r="C8" s="17" t="s">
        <v>43</v>
      </c>
      <c r="D8" s="38">
        <v>0.13200000000000001</v>
      </c>
      <c r="E8" s="17" t="s">
        <v>64</v>
      </c>
      <c r="F8" s="16">
        <v>41483</v>
      </c>
      <c r="G8" s="17" t="s">
        <v>239</v>
      </c>
      <c r="H8" s="38">
        <v>0.13600000000000001</v>
      </c>
      <c r="I8" s="17" t="s">
        <v>173</v>
      </c>
      <c r="J8" s="16">
        <v>26891</v>
      </c>
      <c r="K8" s="17" t="s">
        <v>240</v>
      </c>
      <c r="L8" s="38">
        <v>0.13300000000000001</v>
      </c>
      <c r="M8" s="17" t="s">
        <v>63</v>
      </c>
      <c r="N8" s="16">
        <v>22965</v>
      </c>
      <c r="O8" s="17" t="s">
        <v>241</v>
      </c>
      <c r="P8" s="38">
        <v>0.14499999999999999</v>
      </c>
      <c r="Q8" s="17" t="s">
        <v>63</v>
      </c>
    </row>
    <row r="9" spans="1:17">
      <c r="A9" s="15" t="s">
        <v>217</v>
      </c>
      <c r="B9" s="16">
        <v>28068</v>
      </c>
      <c r="C9" s="17" t="s">
        <v>242</v>
      </c>
      <c r="D9" s="38">
        <v>0.192</v>
      </c>
      <c r="E9" s="17" t="s">
        <v>64</v>
      </c>
      <c r="F9" s="16">
        <v>54460</v>
      </c>
      <c r="G9" s="17" t="s">
        <v>131</v>
      </c>
      <c r="H9" s="38">
        <v>0.17799999999999999</v>
      </c>
      <c r="I9" s="17" t="s">
        <v>175</v>
      </c>
      <c r="J9" s="16">
        <v>37519</v>
      </c>
      <c r="K9" s="17" t="s">
        <v>243</v>
      </c>
      <c r="L9" s="38">
        <v>0.186</v>
      </c>
      <c r="M9" s="17" t="s">
        <v>175</v>
      </c>
      <c r="N9" s="16">
        <v>32148</v>
      </c>
      <c r="O9" s="17" t="s">
        <v>244</v>
      </c>
      <c r="P9" s="38">
        <v>0.20200000000000001</v>
      </c>
      <c r="Q9" s="17" t="s">
        <v>64</v>
      </c>
    </row>
    <row r="10" spans="1:17">
      <c r="A10" s="15" t="s">
        <v>218</v>
      </c>
      <c r="B10" s="16">
        <v>21506</v>
      </c>
      <c r="C10" s="17" t="s">
        <v>245</v>
      </c>
      <c r="D10" s="38">
        <v>0.14699999999999999</v>
      </c>
      <c r="E10" s="17" t="s">
        <v>63</v>
      </c>
      <c r="F10" s="16">
        <v>37607</v>
      </c>
      <c r="G10" s="17" t="s">
        <v>246</v>
      </c>
      <c r="H10" s="38">
        <v>0.123</v>
      </c>
      <c r="I10" s="17" t="s">
        <v>165</v>
      </c>
      <c r="J10" s="16">
        <v>28711</v>
      </c>
      <c r="K10" s="17" t="s">
        <v>247</v>
      </c>
      <c r="L10" s="38">
        <v>0.14199999999999999</v>
      </c>
      <c r="M10" s="17" t="s">
        <v>63</v>
      </c>
      <c r="N10" s="16">
        <v>23471</v>
      </c>
      <c r="O10" s="17" t="s">
        <v>248</v>
      </c>
      <c r="P10" s="38">
        <v>0.14799999999999999</v>
      </c>
      <c r="Q10" s="17" t="s">
        <v>63</v>
      </c>
    </row>
    <row r="11" spans="1:17">
      <c r="A11" s="15" t="s">
        <v>219</v>
      </c>
      <c r="B11" s="16">
        <v>23135</v>
      </c>
      <c r="C11" s="17" t="s">
        <v>249</v>
      </c>
      <c r="D11" s="38">
        <v>0.158</v>
      </c>
      <c r="E11" s="17" t="s">
        <v>63</v>
      </c>
      <c r="F11" s="16">
        <v>39834</v>
      </c>
      <c r="G11" s="17" t="s">
        <v>250</v>
      </c>
      <c r="H11" s="38">
        <v>0.13</v>
      </c>
      <c r="I11" s="17" t="s">
        <v>173</v>
      </c>
      <c r="J11" s="16">
        <v>33322</v>
      </c>
      <c r="K11" s="17" t="s">
        <v>251</v>
      </c>
      <c r="L11" s="38">
        <v>0.16500000000000001</v>
      </c>
      <c r="M11" s="17" t="s">
        <v>63</v>
      </c>
      <c r="N11" s="16">
        <v>22609</v>
      </c>
      <c r="O11" s="17" t="s">
        <v>252</v>
      </c>
      <c r="P11" s="38">
        <v>0.14199999999999999</v>
      </c>
      <c r="Q11" s="17" t="s">
        <v>63</v>
      </c>
    </row>
    <row r="12" spans="1:17">
      <c r="A12" s="15" t="s">
        <v>220</v>
      </c>
      <c r="B12" s="16">
        <v>9277</v>
      </c>
      <c r="C12" s="17" t="s">
        <v>253</v>
      </c>
      <c r="D12" s="38">
        <v>6.3E-2</v>
      </c>
      <c r="E12" s="17" t="s">
        <v>175</v>
      </c>
      <c r="F12" s="16">
        <v>13519</v>
      </c>
      <c r="G12" s="17" t="s">
        <v>254</v>
      </c>
      <c r="H12" s="38">
        <v>4.3999999999999997E-2</v>
      </c>
      <c r="I12" s="17" t="s">
        <v>162</v>
      </c>
      <c r="J12" s="16">
        <v>12844</v>
      </c>
      <c r="K12" s="17" t="s">
        <v>255</v>
      </c>
      <c r="L12" s="38">
        <v>6.4000000000000001E-2</v>
      </c>
      <c r="M12" s="17" t="s">
        <v>165</v>
      </c>
      <c r="N12" s="16">
        <v>7934</v>
      </c>
      <c r="O12" s="17" t="s">
        <v>256</v>
      </c>
      <c r="P12" s="38">
        <v>0.05</v>
      </c>
      <c r="Q12" s="17" t="s">
        <v>165</v>
      </c>
    </row>
    <row r="13" spans="1:17">
      <c r="A13" s="15" t="s">
        <v>221</v>
      </c>
      <c r="B13" s="16">
        <v>7959</v>
      </c>
      <c r="C13" s="17" t="s">
        <v>257</v>
      </c>
      <c r="D13" s="38">
        <v>5.3999999999999999E-2</v>
      </c>
      <c r="E13" s="17" t="s">
        <v>173</v>
      </c>
      <c r="F13" s="16">
        <v>13868</v>
      </c>
      <c r="G13" s="17" t="s">
        <v>258</v>
      </c>
      <c r="H13" s="38">
        <v>4.4999999999999998E-2</v>
      </c>
      <c r="I13" s="17" t="s">
        <v>162</v>
      </c>
      <c r="J13" s="16">
        <v>10469</v>
      </c>
      <c r="K13" s="17" t="s">
        <v>259</v>
      </c>
      <c r="L13" s="38">
        <v>5.1999999999999998E-2</v>
      </c>
      <c r="M13" s="17" t="s">
        <v>165</v>
      </c>
      <c r="N13" s="16">
        <v>5896</v>
      </c>
      <c r="O13" s="17" t="s">
        <v>260</v>
      </c>
      <c r="P13" s="38">
        <v>3.6999999999999998E-2</v>
      </c>
      <c r="Q13" s="17" t="s">
        <v>165</v>
      </c>
    </row>
    <row r="14" spans="1:17">
      <c r="A14" s="15" t="s">
        <v>261</v>
      </c>
      <c r="B14" s="16">
        <v>64352</v>
      </c>
      <c r="C14" s="17" t="s">
        <v>262</v>
      </c>
      <c r="D14" s="17" t="s">
        <v>153</v>
      </c>
      <c r="E14" s="17" t="s">
        <v>153</v>
      </c>
      <c r="F14" s="16">
        <v>52511</v>
      </c>
      <c r="G14" s="17" t="s">
        <v>263</v>
      </c>
      <c r="H14" s="17" t="s">
        <v>153</v>
      </c>
      <c r="I14" s="17" t="s">
        <v>153</v>
      </c>
      <c r="J14" s="16">
        <v>64180</v>
      </c>
      <c r="K14" s="17" t="s">
        <v>264</v>
      </c>
      <c r="L14" s="17" t="s">
        <v>153</v>
      </c>
      <c r="M14" s="17" t="s">
        <v>153</v>
      </c>
      <c r="N14" s="16">
        <v>58225</v>
      </c>
      <c r="O14" s="17" t="s">
        <v>265</v>
      </c>
      <c r="P14" s="17" t="s">
        <v>153</v>
      </c>
      <c r="Q14" s="17" t="s">
        <v>153</v>
      </c>
    </row>
    <row r="15" spans="1:17">
      <c r="A15" s="15" t="s">
        <v>266</v>
      </c>
      <c r="B15" s="16">
        <v>83873</v>
      </c>
      <c r="C15" s="17" t="s">
        <v>267</v>
      </c>
      <c r="D15" s="17" t="s">
        <v>153</v>
      </c>
      <c r="E15" s="17" t="s">
        <v>153</v>
      </c>
      <c r="F15" s="16">
        <v>72045</v>
      </c>
      <c r="G15" s="17" t="s">
        <v>268</v>
      </c>
      <c r="H15" s="17" t="s">
        <v>153</v>
      </c>
      <c r="I15" s="17" t="s">
        <v>153</v>
      </c>
      <c r="J15" s="16">
        <v>81240</v>
      </c>
      <c r="K15" s="17" t="s">
        <v>269</v>
      </c>
      <c r="L15" s="17" t="s">
        <v>153</v>
      </c>
      <c r="M15" s="17" t="s">
        <v>153</v>
      </c>
      <c r="N15" s="16">
        <v>73835</v>
      </c>
      <c r="O15" s="17" t="s">
        <v>270</v>
      </c>
      <c r="P15" s="17" t="s">
        <v>153</v>
      </c>
      <c r="Q15" s="17" t="s">
        <v>153</v>
      </c>
    </row>
    <row r="16" spans="1:17">
      <c r="A16" s="1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23" spans="1:1">
      <c r="A23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4"/>
  <sheetViews>
    <sheetView workbookViewId="0">
      <selection activeCell="B3" sqref="B3"/>
    </sheetView>
  </sheetViews>
  <sheetFormatPr baseColWidth="10" defaultRowHeight="15" x14ac:dyDescent="0"/>
  <cols>
    <col min="2" max="2" width="17.5" customWidth="1"/>
    <col min="4" max="4" width="15" customWidth="1"/>
  </cols>
  <sheetData>
    <row r="1" spans="1:5">
      <c r="A1" s="5"/>
      <c r="B1" s="54">
        <v>2013</v>
      </c>
      <c r="C1" s="54"/>
      <c r="D1" s="54"/>
      <c r="E1" s="54"/>
    </row>
    <row r="2" spans="1:5">
      <c r="A2" s="5"/>
      <c r="B2" s="5" t="s">
        <v>1</v>
      </c>
      <c r="C2" s="5" t="s">
        <v>0</v>
      </c>
      <c r="D2" s="5" t="s">
        <v>30</v>
      </c>
      <c r="E2" s="5" t="s">
        <v>3</v>
      </c>
    </row>
    <row r="3" spans="1:5">
      <c r="A3" s="5" t="s">
        <v>104</v>
      </c>
      <c r="B3" s="39">
        <f>renters!C16-renters!D16</f>
        <v>0.39030000000000004</v>
      </c>
      <c r="C3" s="39">
        <f>'non-white'!B15-'non-white'!C15</f>
        <v>0.2457</v>
      </c>
      <c r="D3" s="39">
        <f>'less than bachelors'!B30-'less than bachelors'!C30</f>
        <v>0.64040000000000008</v>
      </c>
      <c r="E3" s="40">
        <f>E4</f>
        <v>0</v>
      </c>
    </row>
    <row r="4" spans="1:5">
      <c r="A4" s="5"/>
      <c r="B4" s="40"/>
      <c r="C4" s="40"/>
      <c r="D4" s="40"/>
      <c r="E4" s="40"/>
    </row>
  </sheetData>
  <mergeCells count="1">
    <mergeCell ref="B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4"/>
  <sheetViews>
    <sheetView workbookViewId="0">
      <selection activeCell="H48" sqref="H48"/>
    </sheetView>
  </sheetViews>
  <sheetFormatPr baseColWidth="10" defaultRowHeight="15" x14ac:dyDescent="0"/>
  <cols>
    <col min="8" max="8" width="29.5" customWidth="1"/>
    <col min="9" max="9" width="13.83203125" customWidth="1"/>
    <col min="10" max="10" width="25.6640625" customWidth="1"/>
    <col min="13" max="13" width="11.5" bestFit="1" customWidth="1"/>
  </cols>
  <sheetData>
    <row r="1" spans="1:18">
      <c r="A1" s="2"/>
      <c r="B1" s="55">
        <v>2013</v>
      </c>
      <c r="C1" s="55"/>
      <c r="D1" s="55"/>
      <c r="E1" s="55"/>
    </row>
    <row r="2" spans="1:18">
      <c r="A2" s="2"/>
      <c r="B2" s="2" t="s">
        <v>1</v>
      </c>
      <c r="C2" s="2" t="s">
        <v>0</v>
      </c>
      <c r="D2" s="2" t="s">
        <v>30</v>
      </c>
      <c r="E2" s="2" t="s">
        <v>3</v>
      </c>
      <c r="I2" t="s">
        <v>105</v>
      </c>
      <c r="N2" s="12" t="s">
        <v>97</v>
      </c>
      <c r="O2" s="13">
        <v>51126</v>
      </c>
      <c r="P2" t="s">
        <v>98</v>
      </c>
      <c r="Q2" t="s">
        <v>99</v>
      </c>
    </row>
    <row r="3" spans="1:18">
      <c r="A3" s="2" t="s">
        <v>4</v>
      </c>
      <c r="B3" s="3">
        <f>B15/B29</f>
        <v>0.45918420504271723</v>
      </c>
      <c r="C3" s="3">
        <f>(B37-C15)/B37</f>
        <v>0.32900481361244821</v>
      </c>
      <c r="D3" s="3">
        <f>1-(D15-E15)</f>
        <v>0.88300000000000001</v>
      </c>
      <c r="E3" s="3">
        <f>B40/C40</f>
        <v>0.48460526315789476</v>
      </c>
      <c r="I3">
        <v>2000</v>
      </c>
      <c r="J3">
        <v>2013</v>
      </c>
      <c r="P3" t="s">
        <v>100</v>
      </c>
    </row>
    <row r="4" spans="1:18">
      <c r="A4" s="2" t="s">
        <v>29</v>
      </c>
      <c r="B4" s="4">
        <v>0.38540000000000002</v>
      </c>
      <c r="C4" s="4">
        <v>0.15859999999999999</v>
      </c>
      <c r="D4" s="4">
        <v>0.61680000000000001</v>
      </c>
      <c r="E4" s="4">
        <v>0.48459999999999998</v>
      </c>
      <c r="I4" s="1">
        <f>O2</f>
        <v>51126</v>
      </c>
      <c r="J4" s="1">
        <f>Q13</f>
        <v>54866</v>
      </c>
      <c r="P4" t="s">
        <v>101</v>
      </c>
    </row>
    <row r="5" spans="1:18">
      <c r="A5" t="s">
        <v>104</v>
      </c>
      <c r="B5" s="36">
        <f>K42</f>
        <v>0.38907400836066852</v>
      </c>
      <c r="C5" s="36">
        <f>I61</f>
        <v>0.2465217370603667</v>
      </c>
      <c r="D5" s="36">
        <f>I84</f>
        <v>0.62610526227504226</v>
      </c>
      <c r="E5" s="37">
        <f>E4</f>
        <v>0.48459999999999998</v>
      </c>
    </row>
    <row r="7" spans="1:18">
      <c r="A7" t="s">
        <v>6</v>
      </c>
    </row>
    <row r="9" spans="1:18">
      <c r="H9" s="11"/>
    </row>
    <row r="10" spans="1:18">
      <c r="O10" t="s">
        <v>14</v>
      </c>
    </row>
    <row r="11" spans="1:18">
      <c r="O11" t="s">
        <v>66</v>
      </c>
      <c r="Q11" t="s">
        <v>67</v>
      </c>
    </row>
    <row r="12" spans="1:18">
      <c r="O12" t="s">
        <v>15</v>
      </c>
      <c r="P12" t="s">
        <v>16</v>
      </c>
      <c r="Q12" t="s">
        <v>15</v>
      </c>
      <c r="R12" t="s">
        <v>16</v>
      </c>
    </row>
    <row r="13" spans="1:18">
      <c r="N13" t="s">
        <v>106</v>
      </c>
      <c r="O13" s="1">
        <v>25883</v>
      </c>
      <c r="P13" t="s">
        <v>107</v>
      </c>
      <c r="Q13" s="1">
        <v>54866</v>
      </c>
      <c r="R13" t="s">
        <v>108</v>
      </c>
    </row>
    <row r="14" spans="1:18">
      <c r="A14" s="18"/>
      <c r="B14" s="18" t="s">
        <v>25</v>
      </c>
      <c r="C14" s="18" t="s">
        <v>26</v>
      </c>
      <c r="D14" s="18" t="s">
        <v>2</v>
      </c>
      <c r="E14" s="18" t="s">
        <v>7</v>
      </c>
      <c r="F14" s="18" t="s">
        <v>3</v>
      </c>
      <c r="G14" s="28"/>
    </row>
    <row r="15" spans="1:18">
      <c r="A15" s="18" t="s">
        <v>4</v>
      </c>
      <c r="B15" s="29">
        <f>B31-C31</f>
        <v>17629</v>
      </c>
      <c r="C15" s="18">
        <f>B36-C36</f>
        <v>71928</v>
      </c>
      <c r="D15" s="18">
        <f>0.131+0.057</f>
        <v>0.188</v>
      </c>
      <c r="E15" s="18">
        <f>0.011+0.06</f>
        <v>7.0999999999999994E-2</v>
      </c>
      <c r="F15" s="18"/>
      <c r="G15" s="28"/>
      <c r="O15" t="s">
        <v>14</v>
      </c>
    </row>
    <row r="16" spans="1:18">
      <c r="A16" s="18" t="s">
        <v>5</v>
      </c>
      <c r="B16" s="18"/>
      <c r="C16" s="18"/>
      <c r="D16" s="18"/>
      <c r="E16" s="18"/>
      <c r="F16" s="18"/>
      <c r="G16" s="28"/>
      <c r="N16" t="s">
        <v>15</v>
      </c>
      <c r="O16" t="s">
        <v>16</v>
      </c>
    </row>
    <row r="17" spans="1:16">
      <c r="A17" s="18"/>
      <c r="B17" s="18"/>
      <c r="C17" s="18"/>
      <c r="D17" s="18"/>
      <c r="E17" s="18"/>
      <c r="F17" s="18"/>
      <c r="G17" s="28"/>
      <c r="N17" t="s">
        <v>17</v>
      </c>
      <c r="O17" s="1">
        <v>47417</v>
      </c>
      <c r="P17" t="s">
        <v>70</v>
      </c>
    </row>
    <row r="18" spans="1:16">
      <c r="A18" s="18"/>
      <c r="B18" s="18"/>
      <c r="C18" s="18"/>
      <c r="D18" s="18"/>
      <c r="E18" s="18"/>
      <c r="F18" s="18"/>
      <c r="G18" s="28"/>
      <c r="N18" t="s">
        <v>109</v>
      </c>
      <c r="O18" s="1">
        <v>25130</v>
      </c>
      <c r="P18" t="s">
        <v>110</v>
      </c>
    </row>
    <row r="19" spans="1:16">
      <c r="A19" s="18"/>
      <c r="B19" s="18"/>
      <c r="C19" s="18"/>
      <c r="D19" s="18"/>
      <c r="E19" s="18"/>
      <c r="F19" s="18"/>
      <c r="G19" s="28"/>
      <c r="N19" t="s">
        <v>111</v>
      </c>
      <c r="O19" s="1">
        <v>52336</v>
      </c>
      <c r="P19" t="s">
        <v>112</v>
      </c>
    </row>
    <row r="20" spans="1:16">
      <c r="A20" s="18" t="s">
        <v>8</v>
      </c>
      <c r="B20" s="18" t="s">
        <v>9</v>
      </c>
      <c r="C20" s="18"/>
      <c r="D20" s="18"/>
      <c r="E20" s="18"/>
      <c r="F20" s="18"/>
      <c r="G20" s="28"/>
      <c r="N20" t="s">
        <v>113</v>
      </c>
      <c r="O20" s="1">
        <v>54144</v>
      </c>
      <c r="P20" t="s">
        <v>114</v>
      </c>
    </row>
    <row r="21" spans="1:16">
      <c r="A21" s="18" t="s">
        <v>10</v>
      </c>
      <c r="B21" s="18"/>
      <c r="C21" s="18"/>
      <c r="D21" s="18"/>
      <c r="E21" s="18"/>
      <c r="F21" s="18"/>
      <c r="G21" s="28"/>
      <c r="N21" t="s">
        <v>115</v>
      </c>
      <c r="O21" s="1">
        <v>67651</v>
      </c>
      <c r="P21" t="s">
        <v>116</v>
      </c>
    </row>
    <row r="22" spans="1:16">
      <c r="A22" s="18"/>
      <c r="B22" s="18"/>
      <c r="C22" s="18"/>
      <c r="D22" s="18"/>
      <c r="E22" s="18"/>
      <c r="F22" s="18"/>
      <c r="G22" s="28"/>
      <c r="N22" t="s">
        <v>117</v>
      </c>
      <c r="O22" s="1">
        <v>60461</v>
      </c>
      <c r="P22" t="s">
        <v>118</v>
      </c>
    </row>
    <row r="23" spans="1:16">
      <c r="A23" s="18" t="s">
        <v>11</v>
      </c>
      <c r="B23" s="18" t="s">
        <v>12</v>
      </c>
      <c r="C23" s="18"/>
      <c r="D23" s="18"/>
      <c r="E23" s="18"/>
      <c r="F23" s="18"/>
      <c r="G23" s="28"/>
      <c r="N23" t="s">
        <v>119</v>
      </c>
      <c r="O23" s="1">
        <v>62586</v>
      </c>
      <c r="P23" t="s">
        <v>120</v>
      </c>
    </row>
    <row r="24" spans="1:16">
      <c r="A24" s="18" t="s">
        <v>13</v>
      </c>
      <c r="B24" s="18"/>
      <c r="C24" s="18"/>
      <c r="D24" s="18"/>
      <c r="E24" s="18"/>
      <c r="F24" s="18"/>
      <c r="G24" s="28"/>
      <c r="N24" t="s">
        <v>121</v>
      </c>
      <c r="O24" s="1">
        <v>65270</v>
      </c>
      <c r="P24" t="s">
        <v>122</v>
      </c>
    </row>
    <row r="25" spans="1:16">
      <c r="A25" s="18" t="s">
        <v>10</v>
      </c>
      <c r="B25" s="18"/>
      <c r="C25" s="18"/>
      <c r="D25" s="18"/>
      <c r="E25" s="18"/>
      <c r="F25" s="18"/>
      <c r="G25" s="28"/>
    </row>
    <row r="26" spans="1:16">
      <c r="A26" s="18"/>
      <c r="B26" s="18"/>
      <c r="C26" s="18"/>
      <c r="D26" s="18"/>
      <c r="E26" s="18"/>
      <c r="F26" s="18"/>
      <c r="G26" s="28"/>
      <c r="N26" t="s">
        <v>123</v>
      </c>
      <c r="O26" t="s">
        <v>124</v>
      </c>
    </row>
    <row r="27" spans="1:16">
      <c r="A27" s="18"/>
      <c r="B27" s="18" t="s">
        <v>14</v>
      </c>
      <c r="C27" s="18"/>
      <c r="D27" s="18"/>
      <c r="E27" s="18"/>
      <c r="F27" s="18"/>
      <c r="G27" s="28"/>
      <c r="N27" t="s">
        <v>125</v>
      </c>
    </row>
    <row r="28" spans="1:16">
      <c r="A28" s="18" t="s">
        <v>15</v>
      </c>
      <c r="B28" s="18" t="s">
        <v>16</v>
      </c>
      <c r="C28" s="18"/>
      <c r="D28" s="18"/>
      <c r="E28" s="18"/>
      <c r="F28" s="18"/>
      <c r="G28" s="28"/>
      <c r="N28" t="s">
        <v>10</v>
      </c>
    </row>
    <row r="29" spans="1:16">
      <c r="A29" s="18" t="s">
        <v>17</v>
      </c>
      <c r="B29" s="29">
        <v>38392</v>
      </c>
      <c r="C29" s="18">
        <v>755</v>
      </c>
      <c r="D29" s="18"/>
      <c r="E29" s="18"/>
      <c r="F29" s="18"/>
      <c r="G29" s="28"/>
      <c r="I29" t="s">
        <v>11</v>
      </c>
      <c r="J29" t="s">
        <v>12</v>
      </c>
    </row>
    <row r="30" spans="1:16">
      <c r="A30" s="18" t="s">
        <v>18</v>
      </c>
      <c r="B30" s="29">
        <v>20146</v>
      </c>
      <c r="C30" s="18">
        <v>743</v>
      </c>
      <c r="D30" s="18"/>
      <c r="E30" s="18"/>
      <c r="F30" s="18"/>
      <c r="G30" s="28"/>
      <c r="I30" t="s">
        <v>13</v>
      </c>
    </row>
    <row r="31" spans="1:16">
      <c r="A31" s="18" t="s">
        <v>19</v>
      </c>
      <c r="B31" s="29">
        <v>18246</v>
      </c>
      <c r="C31" s="18">
        <v>617</v>
      </c>
      <c r="D31" s="18"/>
      <c r="E31" s="18"/>
      <c r="F31" s="18"/>
      <c r="G31" s="28"/>
      <c r="I31" t="s">
        <v>10</v>
      </c>
    </row>
    <row r="32" spans="1:16">
      <c r="A32" s="18"/>
      <c r="B32" s="18"/>
      <c r="C32" s="18"/>
      <c r="D32" s="18"/>
      <c r="E32" s="18"/>
      <c r="F32" s="18"/>
      <c r="G32" s="28"/>
    </row>
    <row r="33" spans="1:18">
      <c r="A33" s="18" t="s">
        <v>20</v>
      </c>
      <c r="B33" s="18" t="s">
        <v>21</v>
      </c>
      <c r="C33" s="18"/>
      <c r="D33" s="18"/>
      <c r="E33" s="18"/>
      <c r="F33" s="18"/>
      <c r="G33" s="28"/>
      <c r="K33" t="s">
        <v>126</v>
      </c>
      <c r="M33" t="s">
        <v>127</v>
      </c>
      <c r="O33" t="s">
        <v>128</v>
      </c>
      <c r="Q33" t="s">
        <v>129</v>
      </c>
    </row>
    <row r="34" spans="1:18">
      <c r="A34" s="18" t="s">
        <v>10</v>
      </c>
      <c r="B34" s="18"/>
      <c r="C34" s="18"/>
      <c r="D34" s="18"/>
      <c r="E34" s="18"/>
      <c r="F34" s="18"/>
      <c r="G34" s="28"/>
      <c r="K34" t="s">
        <v>15</v>
      </c>
      <c r="L34" t="s">
        <v>16</v>
      </c>
      <c r="M34" t="s">
        <v>15</v>
      </c>
      <c r="N34" t="s">
        <v>16</v>
      </c>
      <c r="O34" t="s">
        <v>15</v>
      </c>
      <c r="P34" t="s">
        <v>16</v>
      </c>
      <c r="Q34" t="s">
        <v>15</v>
      </c>
      <c r="R34" t="s">
        <v>16</v>
      </c>
    </row>
    <row r="35" spans="1:18">
      <c r="A35" s="18"/>
      <c r="B35" s="18"/>
      <c r="C35" s="18"/>
      <c r="D35" s="18"/>
      <c r="E35" s="18"/>
      <c r="F35" s="18"/>
      <c r="G35" s="28"/>
      <c r="J35" t="s">
        <v>17</v>
      </c>
      <c r="K35" s="1">
        <v>146527</v>
      </c>
      <c r="L35" t="s">
        <v>130</v>
      </c>
      <c r="M35" s="1">
        <v>305939</v>
      </c>
      <c r="N35" t="s">
        <v>131</v>
      </c>
      <c r="O35" s="1">
        <v>201771</v>
      </c>
      <c r="P35" t="s">
        <v>132</v>
      </c>
      <c r="Q35" s="1">
        <v>158855</v>
      </c>
      <c r="R35" t="s">
        <v>133</v>
      </c>
    </row>
    <row r="36" spans="1:18">
      <c r="A36" s="18" t="s">
        <v>22</v>
      </c>
      <c r="B36" s="18">
        <v>73827</v>
      </c>
      <c r="C36" s="18">
        <v>1899</v>
      </c>
      <c r="D36" s="18"/>
      <c r="E36" s="18"/>
      <c r="F36" s="18"/>
      <c r="G36" s="28"/>
      <c r="J36" t="s">
        <v>18</v>
      </c>
      <c r="K36" s="1">
        <v>100826</v>
      </c>
      <c r="L36" t="s">
        <v>134</v>
      </c>
      <c r="M36" s="1">
        <v>165713</v>
      </c>
      <c r="N36" t="s">
        <v>135</v>
      </c>
      <c r="O36" s="1">
        <v>122999</v>
      </c>
      <c r="P36" t="s">
        <v>136</v>
      </c>
      <c r="Q36" s="1">
        <v>103213</v>
      </c>
      <c r="R36" t="s">
        <v>137</v>
      </c>
    </row>
    <row r="37" spans="1:18">
      <c r="A37" s="18" t="s">
        <v>23</v>
      </c>
      <c r="B37" s="18">
        <v>107196</v>
      </c>
      <c r="C37" s="18">
        <v>96</v>
      </c>
      <c r="D37" s="18"/>
      <c r="E37" s="18"/>
      <c r="F37" s="18"/>
      <c r="G37" s="28"/>
      <c r="J37" t="s">
        <v>19</v>
      </c>
      <c r="K37" s="1">
        <v>45701</v>
      </c>
      <c r="L37" t="s">
        <v>138</v>
      </c>
      <c r="M37" s="1">
        <v>140226</v>
      </c>
      <c r="N37" t="s">
        <v>139</v>
      </c>
      <c r="O37" s="1">
        <v>78772</v>
      </c>
      <c r="P37" t="s">
        <v>140</v>
      </c>
      <c r="Q37" s="1">
        <v>55642</v>
      </c>
      <c r="R37" t="s">
        <v>141</v>
      </c>
    </row>
    <row r="38" spans="1:18">
      <c r="A38" s="18"/>
      <c r="B38" s="18"/>
      <c r="C38" s="18"/>
      <c r="D38" s="18"/>
      <c r="E38" s="18"/>
      <c r="F38" s="18"/>
      <c r="G38" s="28"/>
      <c r="J38" s="30" t="s">
        <v>143</v>
      </c>
      <c r="K38" s="31">
        <f>K35-937</f>
        <v>145590</v>
      </c>
      <c r="L38" s="30"/>
      <c r="M38" s="31">
        <f>M35-1489</f>
        <v>304450</v>
      </c>
      <c r="N38" s="30"/>
      <c r="O38" s="31">
        <f>O35-975</f>
        <v>200796</v>
      </c>
      <c r="P38" s="30"/>
      <c r="Q38" s="31">
        <f>Q35-904</f>
        <v>157951</v>
      </c>
      <c r="R38" s="30"/>
    </row>
    <row r="39" spans="1:18">
      <c r="A39" s="18" t="s">
        <v>24</v>
      </c>
      <c r="B39" s="18" t="s">
        <v>27</v>
      </c>
      <c r="C39" s="18" t="s">
        <v>28</v>
      </c>
      <c r="D39" s="18"/>
      <c r="E39" s="18"/>
      <c r="F39" s="18"/>
      <c r="G39" s="28"/>
      <c r="J39" s="18" t="s">
        <v>144</v>
      </c>
      <c r="K39" s="29">
        <f>K37-1331</f>
        <v>44370</v>
      </c>
      <c r="L39" s="18"/>
      <c r="M39" s="29">
        <f>M37-1836</f>
        <v>138390</v>
      </c>
      <c r="N39" s="18"/>
      <c r="O39" s="29">
        <f>O37-1306</f>
        <v>77466</v>
      </c>
      <c r="P39" s="18"/>
      <c r="Q39" s="29">
        <f>Q37-1190</f>
        <v>54452</v>
      </c>
      <c r="R39" s="18"/>
    </row>
    <row r="40" spans="1:18">
      <c r="A40" s="18">
        <v>54614.06</v>
      </c>
      <c r="B40" s="18">
        <f>5245+5405+7765</f>
        <v>18415</v>
      </c>
      <c r="C40" s="18">
        <f>38000</f>
        <v>38000</v>
      </c>
      <c r="D40" s="18"/>
      <c r="E40" s="18"/>
      <c r="F40" s="18"/>
      <c r="G40" s="28"/>
      <c r="J40" s="18" t="s">
        <v>142</v>
      </c>
      <c r="K40" s="29">
        <f>SUM(K38:Q38)</f>
        <v>808787</v>
      </c>
      <c r="L40" s="18"/>
      <c r="M40" s="18"/>
      <c r="N40" s="18"/>
      <c r="O40" s="18"/>
      <c r="P40" s="18"/>
      <c r="Q40" s="18"/>
      <c r="R40" s="18"/>
    </row>
    <row r="41" spans="1:18">
      <c r="A41" s="18">
        <f>4614.06/100</f>
        <v>46.140600000000006</v>
      </c>
      <c r="B41" s="18"/>
      <c r="C41" s="18"/>
      <c r="D41" s="18"/>
      <c r="E41" s="18"/>
      <c r="F41" s="18"/>
      <c r="G41" s="28"/>
      <c r="J41" s="18" t="s">
        <v>145</v>
      </c>
      <c r="K41" s="29">
        <f>SUM(K39:Q39)</f>
        <v>314678</v>
      </c>
      <c r="L41" s="18"/>
      <c r="M41" s="18"/>
      <c r="N41" s="18"/>
      <c r="O41" s="18"/>
      <c r="R41" s="18"/>
    </row>
    <row r="42" spans="1:18">
      <c r="K42">
        <f>K41/K40</f>
        <v>0.38907400836066852</v>
      </c>
    </row>
    <row r="43" spans="1:18">
      <c r="J43" t="s">
        <v>198</v>
      </c>
      <c r="K43" s="1">
        <f>K35+M35+O35+Q35</f>
        <v>813092</v>
      </c>
      <c r="Q43" s="1"/>
    </row>
    <row r="44" spans="1:18">
      <c r="J44" t="s">
        <v>199</v>
      </c>
      <c r="K44" s="1">
        <f>K37+M37+O37+Q37</f>
        <v>320341</v>
      </c>
      <c r="Q44" s="1"/>
    </row>
    <row r="45" spans="1:18">
      <c r="J45" t="s">
        <v>200</v>
      </c>
      <c r="K45">
        <f>K44/K43</f>
        <v>0.3939787871483178</v>
      </c>
    </row>
    <row r="46" spans="1:18">
      <c r="J46" t="s">
        <v>201</v>
      </c>
      <c r="K46">
        <f>937+1489+975+904</f>
        <v>4305</v>
      </c>
      <c r="L46">
        <f>39.4-1.32</f>
        <v>38.08</v>
      </c>
    </row>
    <row r="47" spans="1:18">
      <c r="J47" t="s">
        <v>202</v>
      </c>
      <c r="K47">
        <f>1331+1836+1306+1190</f>
        <v>5663</v>
      </c>
    </row>
    <row r="48" spans="1:18">
      <c r="J48" t="s">
        <v>203</v>
      </c>
      <c r="K48">
        <f>K47/K46</f>
        <v>1.3154471544715447</v>
      </c>
      <c r="L48">
        <f>K45-(K48/100)</f>
        <v>0.38082431560360236</v>
      </c>
    </row>
    <row r="50" spans="8:24">
      <c r="I50" t="s">
        <v>20</v>
      </c>
      <c r="J50" t="s">
        <v>21</v>
      </c>
    </row>
    <row r="51" spans="8:24">
      <c r="I51" t="s">
        <v>10</v>
      </c>
    </row>
    <row r="53" spans="8:24">
      <c r="J53" t="s">
        <v>126</v>
      </c>
      <c r="M53" t="s">
        <v>127</v>
      </c>
      <c r="Q53" t="s">
        <v>128</v>
      </c>
      <c r="U53" t="s">
        <v>129</v>
      </c>
    </row>
    <row r="54" spans="8:24">
      <c r="H54" t="s">
        <v>65</v>
      </c>
      <c r="I54" t="s">
        <v>15</v>
      </c>
      <c r="J54" t="s">
        <v>16</v>
      </c>
      <c r="K54" t="s">
        <v>41</v>
      </c>
      <c r="L54" t="s">
        <v>146</v>
      </c>
      <c r="M54" t="s">
        <v>15</v>
      </c>
      <c r="N54" t="s">
        <v>16</v>
      </c>
      <c r="O54" t="s">
        <v>41</v>
      </c>
      <c r="P54" t="s">
        <v>146</v>
      </c>
      <c r="Q54" t="s">
        <v>15</v>
      </c>
      <c r="R54" t="s">
        <v>16</v>
      </c>
      <c r="S54" t="s">
        <v>41</v>
      </c>
      <c r="T54" t="s">
        <v>146</v>
      </c>
      <c r="U54" t="s">
        <v>15</v>
      </c>
      <c r="V54" t="s">
        <v>16</v>
      </c>
      <c r="W54" t="s">
        <v>41</v>
      </c>
      <c r="X54" t="s">
        <v>146</v>
      </c>
    </row>
    <row r="55" spans="8:24">
      <c r="H55" t="s">
        <v>197</v>
      </c>
      <c r="I55" s="1">
        <v>320108</v>
      </c>
      <c r="J55" t="s">
        <v>147</v>
      </c>
      <c r="K55" s="11">
        <v>0.84099999999999997</v>
      </c>
      <c r="L55" t="s">
        <v>148</v>
      </c>
      <c r="M55" s="1">
        <v>538073</v>
      </c>
      <c r="N55" t="s">
        <v>149</v>
      </c>
      <c r="O55" s="11">
        <v>0.72</v>
      </c>
      <c r="P55" t="s">
        <v>148</v>
      </c>
      <c r="Q55" s="1">
        <v>373709</v>
      </c>
      <c r="R55" t="s">
        <v>150</v>
      </c>
      <c r="S55" s="11">
        <v>0.69299999999999995</v>
      </c>
      <c r="T55" t="s">
        <v>148</v>
      </c>
      <c r="U55" s="1">
        <v>351705</v>
      </c>
      <c r="V55" t="s">
        <v>151</v>
      </c>
      <c r="W55" s="11">
        <v>0.81299999999999994</v>
      </c>
      <c r="X55" t="s">
        <v>148</v>
      </c>
    </row>
    <row r="56" spans="8:24">
      <c r="H56" s="32" t="s">
        <v>39</v>
      </c>
      <c r="I56" s="33">
        <v>380532</v>
      </c>
      <c r="J56" s="32" t="s">
        <v>152</v>
      </c>
      <c r="K56" s="33">
        <v>380532</v>
      </c>
      <c r="L56" s="32" t="s">
        <v>153</v>
      </c>
      <c r="M56" s="33">
        <v>747641</v>
      </c>
      <c r="N56" s="32" t="s">
        <v>152</v>
      </c>
      <c r="O56" s="33">
        <v>747641</v>
      </c>
      <c r="P56" s="32" t="s">
        <v>153</v>
      </c>
      <c r="Q56" s="33">
        <v>539608</v>
      </c>
      <c r="R56" s="32" t="s">
        <v>152</v>
      </c>
      <c r="S56" s="33">
        <v>539608</v>
      </c>
      <c r="T56" s="32" t="s">
        <v>153</v>
      </c>
      <c r="U56" s="33">
        <v>432549</v>
      </c>
      <c r="V56" s="32" t="s">
        <v>152</v>
      </c>
      <c r="W56" s="33">
        <v>432549</v>
      </c>
      <c r="X56" s="32" t="s">
        <v>153</v>
      </c>
    </row>
    <row r="57" spans="8:24">
      <c r="H57" s="18" t="s">
        <v>143</v>
      </c>
      <c r="I57" s="1">
        <f>I56</f>
        <v>380532</v>
      </c>
      <c r="M57" s="1">
        <f>M56</f>
        <v>747641</v>
      </c>
      <c r="Q57" s="1">
        <f>Q56</f>
        <v>539608</v>
      </c>
      <c r="U57" s="1">
        <f>U56</f>
        <v>432549</v>
      </c>
    </row>
    <row r="58" spans="8:24">
      <c r="H58" s="18" t="s">
        <v>154</v>
      </c>
      <c r="I58" s="1">
        <f>I55-185</f>
        <v>319923</v>
      </c>
      <c r="M58" s="1">
        <f>M55-353</f>
        <v>537720</v>
      </c>
      <c r="Q58" s="1">
        <f>Q55-268</f>
        <v>373441</v>
      </c>
      <c r="U58" s="1">
        <f>U55-236</f>
        <v>351469</v>
      </c>
    </row>
    <row r="59" spans="8:24">
      <c r="H59" s="18" t="s">
        <v>142</v>
      </c>
      <c r="I59" s="1">
        <f>SUM(I57:U57)</f>
        <v>2100330</v>
      </c>
    </row>
    <row r="60" spans="8:24">
      <c r="H60" s="18" t="s">
        <v>155</v>
      </c>
      <c r="I60" s="1">
        <f>SUM(I58:U58)</f>
        <v>1582553</v>
      </c>
    </row>
    <row r="61" spans="8:24">
      <c r="I61">
        <f>(I59-I60)/I59</f>
        <v>0.2465217370603667</v>
      </c>
      <c r="J61">
        <f>AVERAGE(0.841,0.72,0.693,0.813)</f>
        <v>0.76675000000000004</v>
      </c>
    </row>
    <row r="63" spans="8:24">
      <c r="H63" t="s">
        <v>193</v>
      </c>
      <c r="I63" t="s">
        <v>194</v>
      </c>
    </row>
    <row r="64" spans="8:24">
      <c r="H64" t="s">
        <v>10</v>
      </c>
    </row>
    <row r="65" spans="8:25">
      <c r="I65" t="s">
        <v>126</v>
      </c>
      <c r="M65" t="s">
        <v>127</v>
      </c>
      <c r="N65" t="s">
        <v>128</v>
      </c>
      <c r="O65" t="s">
        <v>129</v>
      </c>
    </row>
    <row r="66" spans="8:25">
      <c r="I66" t="s">
        <v>15</v>
      </c>
      <c r="J66" t="s">
        <v>16</v>
      </c>
      <c r="K66" t="s">
        <v>41</v>
      </c>
      <c r="L66" t="s">
        <v>146</v>
      </c>
      <c r="M66" t="s">
        <v>15</v>
      </c>
      <c r="N66" t="s">
        <v>16</v>
      </c>
      <c r="O66" t="s">
        <v>41</v>
      </c>
      <c r="P66" t="s">
        <v>146</v>
      </c>
      <c r="Q66" t="s">
        <v>15</v>
      </c>
      <c r="R66" t="s">
        <v>16</v>
      </c>
      <c r="S66" t="s">
        <v>41</v>
      </c>
      <c r="T66" t="s">
        <v>146</v>
      </c>
      <c r="U66" t="s">
        <v>15</v>
      </c>
      <c r="V66" t="s">
        <v>16</v>
      </c>
      <c r="W66" t="s">
        <v>41</v>
      </c>
      <c r="X66" t="s">
        <v>146</v>
      </c>
    </row>
    <row r="67" spans="8:25">
      <c r="H67" t="s">
        <v>156</v>
      </c>
      <c r="I67" s="14"/>
      <c r="O67" s="14"/>
      <c r="U67" s="14"/>
    </row>
    <row r="68" spans="8:25">
      <c r="H68" t="s">
        <v>42</v>
      </c>
      <c r="I68" s="1">
        <v>262115</v>
      </c>
      <c r="J68" t="s">
        <v>157</v>
      </c>
      <c r="K68" s="1">
        <v>262115</v>
      </c>
      <c r="L68" t="s">
        <v>153</v>
      </c>
      <c r="M68" s="1">
        <v>526883</v>
      </c>
      <c r="N68" t="s">
        <v>158</v>
      </c>
      <c r="O68" s="1">
        <v>526883</v>
      </c>
      <c r="P68" t="s">
        <v>153</v>
      </c>
      <c r="Q68" s="1">
        <v>358891</v>
      </c>
      <c r="R68" t="s">
        <v>159</v>
      </c>
      <c r="S68" s="1">
        <v>358891</v>
      </c>
      <c r="T68" t="s">
        <v>153</v>
      </c>
      <c r="U68" s="1">
        <v>283431</v>
      </c>
      <c r="V68" t="s">
        <v>160</v>
      </c>
      <c r="W68" s="1">
        <v>283431</v>
      </c>
      <c r="X68" t="s">
        <v>153</v>
      </c>
    </row>
    <row r="69" spans="8:25">
      <c r="H69" t="s">
        <v>46</v>
      </c>
      <c r="I69" s="1">
        <v>6315</v>
      </c>
      <c r="J69" t="s">
        <v>161</v>
      </c>
      <c r="K69" s="1">
        <v>2.4E-2</v>
      </c>
      <c r="L69" t="s">
        <v>162</v>
      </c>
      <c r="M69" s="1">
        <v>22919</v>
      </c>
      <c r="N69" t="s">
        <v>163</v>
      </c>
      <c r="O69" s="1">
        <v>4.2999999999999997E-2</v>
      </c>
      <c r="P69" t="s">
        <v>162</v>
      </c>
      <c r="Q69" s="1">
        <v>15428</v>
      </c>
      <c r="R69" t="s">
        <v>164</v>
      </c>
      <c r="S69" s="1">
        <v>4.2999999999999997E-2</v>
      </c>
      <c r="T69" t="s">
        <v>165</v>
      </c>
      <c r="U69" s="1">
        <v>7568</v>
      </c>
      <c r="V69" t="s">
        <v>166</v>
      </c>
      <c r="W69" s="1">
        <v>2.7E-2</v>
      </c>
      <c r="X69" t="s">
        <v>162</v>
      </c>
      <c r="Y69" s="1"/>
    </row>
    <row r="70" spans="8:25">
      <c r="H70" t="s">
        <v>49</v>
      </c>
      <c r="I70" s="34">
        <v>13555</v>
      </c>
      <c r="J70" t="s">
        <v>167</v>
      </c>
      <c r="K70" s="11">
        <v>5.1999999999999998E-2</v>
      </c>
      <c r="L70" t="s">
        <v>165</v>
      </c>
      <c r="M70" s="34">
        <v>31265</v>
      </c>
      <c r="N70" t="s">
        <v>168</v>
      </c>
      <c r="O70" s="11">
        <v>5.8999999999999997E-2</v>
      </c>
      <c r="P70" t="s">
        <v>162</v>
      </c>
      <c r="Q70" s="34">
        <v>17607</v>
      </c>
      <c r="R70" t="s">
        <v>169</v>
      </c>
      <c r="S70" s="11">
        <v>4.9000000000000002E-2</v>
      </c>
      <c r="T70" t="s">
        <v>165</v>
      </c>
      <c r="U70" s="34">
        <v>17052</v>
      </c>
      <c r="V70" t="s">
        <v>170</v>
      </c>
      <c r="W70" s="11">
        <v>0.06</v>
      </c>
      <c r="X70" t="s">
        <v>165</v>
      </c>
      <c r="Y70" s="11"/>
    </row>
    <row r="71" spans="8:25">
      <c r="H71" t="s">
        <v>52</v>
      </c>
      <c r="I71" s="34">
        <v>62296</v>
      </c>
      <c r="J71" t="s">
        <v>171</v>
      </c>
      <c r="K71" s="11">
        <v>0.23799999999999999</v>
      </c>
      <c r="L71" t="s">
        <v>64</v>
      </c>
      <c r="M71" s="34">
        <v>101291</v>
      </c>
      <c r="N71" t="s">
        <v>172</v>
      </c>
      <c r="O71" s="11">
        <v>0.192</v>
      </c>
      <c r="P71" t="s">
        <v>173</v>
      </c>
      <c r="Q71" s="34">
        <v>68777</v>
      </c>
      <c r="R71" t="s">
        <v>174</v>
      </c>
      <c r="S71" s="11">
        <v>0.192</v>
      </c>
      <c r="T71" t="s">
        <v>175</v>
      </c>
      <c r="U71" s="34">
        <v>74453</v>
      </c>
      <c r="V71" t="s">
        <v>176</v>
      </c>
      <c r="W71" s="11">
        <v>0.26300000000000001</v>
      </c>
      <c r="X71" t="s">
        <v>64</v>
      </c>
      <c r="Y71" s="11"/>
    </row>
    <row r="72" spans="8:25">
      <c r="H72" t="s">
        <v>55</v>
      </c>
      <c r="I72" s="1">
        <v>75285</v>
      </c>
      <c r="J72" t="s">
        <v>177</v>
      </c>
      <c r="K72" s="11">
        <v>0.28699999999999998</v>
      </c>
      <c r="L72" t="s">
        <v>63</v>
      </c>
      <c r="M72" s="1">
        <v>124454</v>
      </c>
      <c r="N72" t="s">
        <v>178</v>
      </c>
      <c r="O72" s="11">
        <v>0.23599999999999999</v>
      </c>
      <c r="P72" t="s">
        <v>175</v>
      </c>
      <c r="Q72" s="1">
        <v>85356</v>
      </c>
      <c r="R72" t="s">
        <v>179</v>
      </c>
      <c r="S72" s="11">
        <v>0.23799999999999999</v>
      </c>
      <c r="T72" t="s">
        <v>175</v>
      </c>
      <c r="U72" s="1">
        <v>81157</v>
      </c>
      <c r="V72" t="s">
        <v>180</v>
      </c>
      <c r="W72" s="11">
        <v>0.28599999999999998</v>
      </c>
      <c r="X72" t="s">
        <v>63</v>
      </c>
    </row>
    <row r="73" spans="8:25">
      <c r="H73" t="s">
        <v>57</v>
      </c>
      <c r="I73" s="1">
        <v>21265</v>
      </c>
      <c r="J73" t="s">
        <v>181</v>
      </c>
      <c r="K73" s="11">
        <v>8.1000000000000003E-2</v>
      </c>
      <c r="L73" t="s">
        <v>173</v>
      </c>
      <c r="M73" s="1">
        <v>36860</v>
      </c>
      <c r="N73" t="s">
        <v>182</v>
      </c>
      <c r="O73" s="11">
        <v>7.0000000000000007E-2</v>
      </c>
      <c r="P73" t="s">
        <v>162</v>
      </c>
      <c r="Q73" s="1">
        <v>30427</v>
      </c>
      <c r="R73" t="s">
        <v>183</v>
      </c>
      <c r="S73" s="11">
        <v>8.5000000000000006E-2</v>
      </c>
      <c r="T73" t="s">
        <v>165</v>
      </c>
      <c r="U73" s="1">
        <v>29553</v>
      </c>
      <c r="V73" t="s">
        <v>184</v>
      </c>
      <c r="W73" s="11">
        <v>0.104</v>
      </c>
      <c r="X73" t="s">
        <v>173</v>
      </c>
    </row>
    <row r="74" spans="8:25">
      <c r="H74" t="s">
        <v>60</v>
      </c>
      <c r="I74" s="1">
        <v>54704</v>
      </c>
      <c r="J74" t="s">
        <v>185</v>
      </c>
      <c r="K74" s="11">
        <v>0.20899999999999999</v>
      </c>
      <c r="L74" t="s">
        <v>63</v>
      </c>
      <c r="M74" s="1">
        <v>127473</v>
      </c>
      <c r="N74" t="s">
        <v>186</v>
      </c>
      <c r="O74" s="11">
        <v>0.24199999999999999</v>
      </c>
      <c r="P74" t="s">
        <v>173</v>
      </c>
      <c r="Q74" s="1">
        <v>91829</v>
      </c>
      <c r="R74" t="s">
        <v>187</v>
      </c>
      <c r="S74" s="11">
        <v>0.25600000000000001</v>
      </c>
      <c r="T74" t="s">
        <v>63</v>
      </c>
      <c r="U74" s="1">
        <v>47901</v>
      </c>
      <c r="V74" t="s">
        <v>188</v>
      </c>
      <c r="W74" s="11">
        <v>0.16900000000000001</v>
      </c>
      <c r="X74" t="s">
        <v>175</v>
      </c>
    </row>
    <row r="75" spans="8:25">
      <c r="H75" s="32" t="s">
        <v>62</v>
      </c>
      <c r="I75" s="33">
        <v>28695</v>
      </c>
      <c r="J75" s="32" t="s">
        <v>189</v>
      </c>
      <c r="K75" s="35">
        <v>0.109</v>
      </c>
      <c r="L75" s="32" t="s">
        <v>173</v>
      </c>
      <c r="M75" s="33">
        <v>82621</v>
      </c>
      <c r="N75" s="32" t="s">
        <v>190</v>
      </c>
      <c r="O75" s="35">
        <v>0.157</v>
      </c>
      <c r="P75" s="32" t="s">
        <v>173</v>
      </c>
      <c r="Q75" s="33">
        <v>49467</v>
      </c>
      <c r="R75" s="32" t="s">
        <v>191</v>
      </c>
      <c r="S75" s="35">
        <v>0.13800000000000001</v>
      </c>
      <c r="T75" s="32" t="s">
        <v>173</v>
      </c>
      <c r="U75" s="33">
        <v>25747</v>
      </c>
      <c r="V75" s="32" t="s">
        <v>192</v>
      </c>
      <c r="W75" s="35">
        <v>9.0999999999999998E-2</v>
      </c>
      <c r="X75" s="32" t="s">
        <v>173</v>
      </c>
    </row>
    <row r="76" spans="8:25">
      <c r="H76" s="18" t="s">
        <v>143</v>
      </c>
      <c r="I76" s="1">
        <f t="shared" ref="I76:I81" si="0">I68-RIGHT(J68,LEN(J68)-3)</f>
        <v>261992</v>
      </c>
      <c r="M76" s="1">
        <f>M68-RIGHT(N68,LEN(N68)-3)</f>
        <v>526770</v>
      </c>
      <c r="Q76" s="1">
        <f>Q68-RIGHT(R68,LEN(R68)-3)</f>
        <v>358757</v>
      </c>
      <c r="U76" s="1">
        <f>U68-RIGHT(V68,LEN(V68)-3)</f>
        <v>283250</v>
      </c>
    </row>
    <row r="77" spans="8:25">
      <c r="H77" s="18" t="s">
        <v>195</v>
      </c>
      <c r="I77" s="1">
        <f t="shared" si="0"/>
        <v>5755</v>
      </c>
      <c r="M77" s="1">
        <f t="shared" ref="M77:M81" si="1">M69-RIGHT(N69,LEN(N69)-3)</f>
        <v>21770</v>
      </c>
      <c r="Q77" s="1">
        <f t="shared" ref="Q77:Q81" si="2">Q69-RIGHT(R69,LEN(R69)-3)</f>
        <v>14424</v>
      </c>
      <c r="U77" s="1">
        <f t="shared" ref="U77:U81" si="3">U69-RIGHT(V69,LEN(V69)-3)</f>
        <v>6927</v>
      </c>
    </row>
    <row r="78" spans="8:25">
      <c r="I78" s="1">
        <f t="shared" si="0"/>
        <v>12814</v>
      </c>
      <c r="M78" s="1">
        <f t="shared" si="1"/>
        <v>29999</v>
      </c>
      <c r="Q78" s="1">
        <f t="shared" si="2"/>
        <v>16429</v>
      </c>
      <c r="U78" s="1">
        <f t="shared" si="3"/>
        <v>16142</v>
      </c>
    </row>
    <row r="79" spans="8:25">
      <c r="I79" s="1">
        <f t="shared" si="0"/>
        <v>60554</v>
      </c>
      <c r="M79" s="1">
        <f t="shared" si="1"/>
        <v>99240</v>
      </c>
      <c r="Q79" s="1">
        <f t="shared" si="2"/>
        <v>66973</v>
      </c>
      <c r="U79" s="1">
        <f t="shared" si="3"/>
        <v>72593</v>
      </c>
    </row>
    <row r="80" spans="8:25">
      <c r="I80" s="1">
        <f t="shared" si="0"/>
        <v>73716</v>
      </c>
      <c r="M80" s="1">
        <f t="shared" si="1"/>
        <v>121973</v>
      </c>
      <c r="Q80" s="1">
        <f t="shared" si="2"/>
        <v>83405</v>
      </c>
      <c r="U80" s="1">
        <f t="shared" si="3"/>
        <v>79425</v>
      </c>
    </row>
    <row r="81" spans="8:21">
      <c r="I81" s="1">
        <f t="shared" si="0"/>
        <v>20280</v>
      </c>
      <c r="M81" s="1">
        <f t="shared" si="1"/>
        <v>35573</v>
      </c>
      <c r="Q81" s="1">
        <f t="shared" si="2"/>
        <v>29337</v>
      </c>
      <c r="U81" s="1">
        <f t="shared" si="3"/>
        <v>28483</v>
      </c>
    </row>
    <row r="82" spans="8:21">
      <c r="H82" s="18" t="s">
        <v>142</v>
      </c>
      <c r="I82" s="1">
        <f>SUM(I76:U76)</f>
        <v>1430769</v>
      </c>
    </row>
    <row r="83" spans="8:21">
      <c r="H83" s="18" t="s">
        <v>196</v>
      </c>
      <c r="I83" s="1">
        <f>SUM(I77:I81)+SUM(M77:M81)+SUM(Q77:Q81)+SUM(U77:U81)</f>
        <v>895812</v>
      </c>
    </row>
    <row r="84" spans="8:21">
      <c r="I84">
        <f>I83/I82</f>
        <v>0.62610526227504226</v>
      </c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opLeftCell="A19" workbookViewId="0">
      <selection activeCell="G3" sqref="G3"/>
    </sheetView>
  </sheetViews>
  <sheetFormatPr baseColWidth="10" defaultRowHeight="15" x14ac:dyDescent="0"/>
  <cols>
    <col min="3" max="3" width="13.33203125" bestFit="1" customWidth="1"/>
    <col min="5" max="5" width="12.33203125" bestFit="1" customWidth="1"/>
  </cols>
  <sheetData>
    <row r="1" spans="1:19">
      <c r="A1" s="5"/>
      <c r="B1" s="56">
        <v>2000</v>
      </c>
      <c r="C1" s="56"/>
      <c r="D1" s="56"/>
      <c r="E1" s="57"/>
      <c r="F1" s="26">
        <v>2013</v>
      </c>
      <c r="G1" s="27"/>
      <c r="H1" s="27"/>
      <c r="I1" s="27"/>
      <c r="J1" s="27"/>
      <c r="K1" s="18"/>
      <c r="L1" s="18"/>
      <c r="M1" s="23"/>
      <c r="N1" s="18"/>
      <c r="O1" s="18"/>
      <c r="P1" s="18"/>
      <c r="Q1" s="18"/>
      <c r="R1" s="18"/>
      <c r="S1" s="18"/>
    </row>
    <row r="2" spans="1:19" ht="16" thickBot="1">
      <c r="A2" s="5"/>
      <c r="B2" s="19" t="s">
        <v>31</v>
      </c>
      <c r="C2" s="19" t="s">
        <v>32</v>
      </c>
      <c r="D2" s="19" t="s">
        <v>33</v>
      </c>
      <c r="E2" s="20" t="s">
        <v>96</v>
      </c>
      <c r="F2" s="21" t="s">
        <v>31</v>
      </c>
      <c r="G2" s="19" t="s">
        <v>35</v>
      </c>
      <c r="H2" s="19" t="s">
        <v>32</v>
      </c>
      <c r="I2" s="19" t="s">
        <v>36</v>
      </c>
      <c r="J2" s="19" t="s">
        <v>33</v>
      </c>
      <c r="K2" s="19" t="s">
        <v>37</v>
      </c>
      <c r="L2" s="20" t="s">
        <v>34</v>
      </c>
      <c r="M2" s="24" t="s">
        <v>38</v>
      </c>
      <c r="N2" s="22"/>
      <c r="O2" s="22"/>
      <c r="P2" s="22"/>
      <c r="Q2" s="22"/>
      <c r="R2" s="22"/>
      <c r="S2" s="22"/>
    </row>
    <row r="3" spans="1:19">
      <c r="A3" s="5" t="s">
        <v>4</v>
      </c>
      <c r="B3">
        <f>L17/L16</f>
        <v>0.54856422720316855</v>
      </c>
      <c r="C3" s="6">
        <f>L23/L24</f>
        <v>0.78924671581397932</v>
      </c>
      <c r="D3" s="6">
        <f>SUM(L37:L40)/L29</f>
        <v>0.18444960152553655</v>
      </c>
      <c r="E3" s="25">
        <f>M46</f>
        <v>42981</v>
      </c>
      <c r="F3" s="6">
        <f>B18/B17</f>
        <v>0.52474473848718484</v>
      </c>
      <c r="G3" s="9">
        <f>C18</f>
        <v>743</v>
      </c>
      <c r="H3" s="10" t="e">
        <f>#REF!/#REF!</f>
        <v>#REF!</v>
      </c>
      <c r="M3" s="23"/>
    </row>
    <row r="4" spans="1:19">
      <c r="A4" s="5" t="s">
        <v>29</v>
      </c>
      <c r="B4" s="7"/>
      <c r="C4" s="7"/>
      <c r="D4" s="7"/>
      <c r="E4" s="8"/>
      <c r="M4" s="23"/>
    </row>
    <row r="6" spans="1:19">
      <c r="G6" s="12" t="s">
        <v>97</v>
      </c>
      <c r="H6" s="13">
        <v>51126</v>
      </c>
      <c r="I6" t="s">
        <v>98</v>
      </c>
      <c r="J6" t="s">
        <v>99</v>
      </c>
      <c r="P6" t="s">
        <v>14</v>
      </c>
      <c r="R6" t="s">
        <v>102</v>
      </c>
      <c r="S6" t="s">
        <v>75</v>
      </c>
    </row>
    <row r="7" spans="1:19">
      <c r="I7" t="s">
        <v>100</v>
      </c>
      <c r="O7" t="s">
        <v>73</v>
      </c>
      <c r="R7" t="s">
        <v>13</v>
      </c>
    </row>
    <row r="8" spans="1:19">
      <c r="B8" s="1"/>
      <c r="I8" t="s">
        <v>101</v>
      </c>
      <c r="O8" t="s">
        <v>66</v>
      </c>
      <c r="P8" s="1">
        <v>42981</v>
      </c>
      <c r="R8" t="s">
        <v>103</v>
      </c>
    </row>
    <row r="11" spans="1:19">
      <c r="A11" t="s">
        <v>11</v>
      </c>
      <c r="B11" t="s">
        <v>12</v>
      </c>
      <c r="K11" t="s">
        <v>77</v>
      </c>
      <c r="L11" t="s">
        <v>78</v>
      </c>
    </row>
    <row r="12" spans="1:19">
      <c r="A12" t="s">
        <v>13</v>
      </c>
      <c r="K12" t="s">
        <v>13</v>
      </c>
    </row>
    <row r="13" spans="1:19">
      <c r="A13" t="s">
        <v>10</v>
      </c>
      <c r="K13" t="s">
        <v>79</v>
      </c>
    </row>
    <row r="15" spans="1:19">
      <c r="B15" s="14" t="s">
        <v>14</v>
      </c>
      <c r="L15" t="s">
        <v>14</v>
      </c>
    </row>
    <row r="16" spans="1:19">
      <c r="B16" t="s">
        <v>15</v>
      </c>
      <c r="C16" t="s">
        <v>16</v>
      </c>
      <c r="K16" t="s">
        <v>17</v>
      </c>
      <c r="L16" s="1">
        <v>33327</v>
      </c>
    </row>
    <row r="17" spans="1:16">
      <c r="A17" t="s">
        <v>17</v>
      </c>
      <c r="B17" s="1">
        <v>38392</v>
      </c>
      <c r="C17">
        <v>755</v>
      </c>
      <c r="K17" t="s">
        <v>18</v>
      </c>
      <c r="L17" s="1">
        <v>18282</v>
      </c>
    </row>
    <row r="18" spans="1:16">
      <c r="A18" t="s">
        <v>18</v>
      </c>
      <c r="B18" s="1">
        <v>20146</v>
      </c>
      <c r="C18">
        <v>743</v>
      </c>
      <c r="K18" t="s">
        <v>19</v>
      </c>
      <c r="L18" s="1">
        <v>15045</v>
      </c>
    </row>
    <row r="19" spans="1:16">
      <c r="A19" t="s">
        <v>19</v>
      </c>
      <c r="B19" s="1">
        <v>18246</v>
      </c>
      <c r="C19">
        <v>617</v>
      </c>
    </row>
    <row r="20" spans="1:16">
      <c r="K20" s="12" t="s">
        <v>14</v>
      </c>
    </row>
    <row r="21" spans="1:16">
      <c r="A21" s="12" t="s">
        <v>14</v>
      </c>
      <c r="K21" t="s">
        <v>80</v>
      </c>
      <c r="L21" t="s">
        <v>81</v>
      </c>
    </row>
    <row r="22" spans="1:16">
      <c r="A22" t="s">
        <v>20</v>
      </c>
      <c r="B22" t="s">
        <v>21</v>
      </c>
      <c r="K22" t="s">
        <v>79</v>
      </c>
    </row>
    <row r="23" spans="1:16">
      <c r="A23" t="s">
        <v>10</v>
      </c>
      <c r="K23" t="s">
        <v>22</v>
      </c>
      <c r="L23" s="1">
        <v>71194</v>
      </c>
      <c r="M23">
        <v>78.900000000000006</v>
      </c>
    </row>
    <row r="24" spans="1:16">
      <c r="B24" t="s">
        <v>15</v>
      </c>
      <c r="C24" t="s">
        <v>40</v>
      </c>
      <c r="D24" t="s">
        <v>41</v>
      </c>
      <c r="E24" t="s">
        <v>40</v>
      </c>
      <c r="K24" t="s">
        <v>39</v>
      </c>
      <c r="L24" s="1">
        <v>90205</v>
      </c>
      <c r="M24">
        <v>100</v>
      </c>
    </row>
    <row r="25" spans="1:16">
      <c r="A25" t="s">
        <v>22</v>
      </c>
      <c r="B25">
        <v>73827</v>
      </c>
      <c r="C25">
        <v>1899</v>
      </c>
      <c r="D25">
        <v>0.68899999999999995</v>
      </c>
      <c r="E25">
        <v>1.7999999999999999E-2</v>
      </c>
    </row>
    <row r="26" spans="1:16">
      <c r="A26" t="s">
        <v>23</v>
      </c>
      <c r="B26">
        <v>107196</v>
      </c>
      <c r="C26">
        <v>96</v>
      </c>
      <c r="O26" t="s">
        <v>94</v>
      </c>
      <c r="P26" t="s">
        <v>95</v>
      </c>
    </row>
    <row r="27" spans="1:16">
      <c r="K27" t="s">
        <v>65</v>
      </c>
      <c r="L27" t="s">
        <v>14</v>
      </c>
      <c r="O27" t="s">
        <v>76</v>
      </c>
    </row>
    <row r="28" spans="1:16">
      <c r="L28" t="s">
        <v>91</v>
      </c>
      <c r="M28" t="s">
        <v>92</v>
      </c>
      <c r="N28" t="s">
        <v>93</v>
      </c>
    </row>
    <row r="29" spans="1:16">
      <c r="A29" s="12" t="s">
        <v>14</v>
      </c>
      <c r="K29" t="s">
        <v>42</v>
      </c>
      <c r="L29" s="1">
        <v>55587</v>
      </c>
      <c r="M29" s="1">
        <v>26646</v>
      </c>
      <c r="N29" s="1">
        <v>28941</v>
      </c>
    </row>
    <row r="30" spans="1:16">
      <c r="A30" t="s">
        <v>8</v>
      </c>
      <c r="B30" t="s">
        <v>9</v>
      </c>
      <c r="K30" t="s">
        <v>82</v>
      </c>
      <c r="L30" s="1">
        <v>1174</v>
      </c>
      <c r="M30">
        <v>636</v>
      </c>
      <c r="N30">
        <v>538</v>
      </c>
    </row>
    <row r="31" spans="1:16">
      <c r="A31" t="s">
        <v>10</v>
      </c>
      <c r="K31" t="s">
        <v>83</v>
      </c>
      <c r="L31" s="1">
        <v>2295</v>
      </c>
      <c r="M31" s="1">
        <v>1255</v>
      </c>
      <c r="N31" s="1">
        <v>1040</v>
      </c>
    </row>
    <row r="32" spans="1:16">
      <c r="A32" t="s">
        <v>42</v>
      </c>
      <c r="B32" s="1">
        <v>68312</v>
      </c>
      <c r="C32" t="s">
        <v>43</v>
      </c>
      <c r="D32" s="1">
        <v>32848</v>
      </c>
      <c r="E32" t="s">
        <v>44</v>
      </c>
      <c r="F32" s="1">
        <v>35464</v>
      </c>
      <c r="G32" t="s">
        <v>45</v>
      </c>
      <c r="K32" t="s">
        <v>49</v>
      </c>
      <c r="L32" s="1">
        <v>5910</v>
      </c>
      <c r="M32" s="1">
        <v>2827</v>
      </c>
      <c r="N32" s="1">
        <v>3083</v>
      </c>
    </row>
    <row r="33" spans="1:14">
      <c r="A33" t="s">
        <v>46</v>
      </c>
      <c r="B33" s="11">
        <v>7.0999999999999994E-2</v>
      </c>
      <c r="C33" t="s">
        <v>47</v>
      </c>
      <c r="D33" s="11">
        <v>7.8E-2</v>
      </c>
      <c r="E33" t="s">
        <v>48</v>
      </c>
      <c r="F33" s="11">
        <v>6.6000000000000003E-2</v>
      </c>
      <c r="G33" t="s">
        <v>48</v>
      </c>
      <c r="K33" t="s">
        <v>84</v>
      </c>
      <c r="L33" s="1">
        <v>15755</v>
      </c>
      <c r="M33" s="1">
        <v>6994</v>
      </c>
      <c r="N33" s="1">
        <v>8761</v>
      </c>
    </row>
    <row r="34" spans="1:14">
      <c r="A34" t="s">
        <v>49</v>
      </c>
      <c r="B34" s="11">
        <v>8.6999999999999994E-2</v>
      </c>
      <c r="C34" t="s">
        <v>47</v>
      </c>
      <c r="D34" s="11">
        <v>0.09</v>
      </c>
      <c r="E34" t="s">
        <v>50</v>
      </c>
      <c r="F34" s="11">
        <v>8.4000000000000005E-2</v>
      </c>
      <c r="G34" t="s">
        <v>51</v>
      </c>
      <c r="K34" t="s">
        <v>85</v>
      </c>
      <c r="L34" s="1">
        <v>5606</v>
      </c>
      <c r="M34" s="1">
        <v>2343</v>
      </c>
      <c r="N34" s="1">
        <v>3263</v>
      </c>
    </row>
    <row r="35" spans="1:14">
      <c r="A35" t="s">
        <v>52</v>
      </c>
      <c r="B35" s="11">
        <v>0.28499999999999998</v>
      </c>
      <c r="C35" t="s">
        <v>51</v>
      </c>
      <c r="D35" s="11">
        <v>0.29699999999999999</v>
      </c>
      <c r="E35" t="s">
        <v>53</v>
      </c>
      <c r="F35" s="11">
        <v>0.27500000000000002</v>
      </c>
      <c r="G35" t="s">
        <v>54</v>
      </c>
      <c r="K35" t="s">
        <v>86</v>
      </c>
      <c r="L35" s="1">
        <v>10564</v>
      </c>
      <c r="M35" s="1">
        <v>5137</v>
      </c>
      <c r="N35" s="1">
        <v>5427</v>
      </c>
    </row>
    <row r="36" spans="1:14">
      <c r="A36" t="s">
        <v>55</v>
      </c>
      <c r="B36" s="11">
        <v>0.28399999999999997</v>
      </c>
      <c r="C36" t="s">
        <v>51</v>
      </c>
      <c r="D36" s="11">
        <v>0.26600000000000001</v>
      </c>
      <c r="E36" t="s">
        <v>56</v>
      </c>
      <c r="F36" s="11">
        <v>0.30099999999999999</v>
      </c>
      <c r="G36" t="s">
        <v>56</v>
      </c>
      <c r="K36" t="s">
        <v>87</v>
      </c>
      <c r="L36" s="1">
        <v>4030</v>
      </c>
      <c r="M36" s="1">
        <v>1878</v>
      </c>
      <c r="N36" s="1">
        <v>2152</v>
      </c>
    </row>
    <row r="37" spans="1:14">
      <c r="A37" t="s">
        <v>57</v>
      </c>
      <c r="B37" s="11">
        <v>8.5000000000000006E-2</v>
      </c>
      <c r="C37" t="s">
        <v>58</v>
      </c>
      <c r="D37" s="11">
        <v>7.4999999999999997E-2</v>
      </c>
      <c r="E37" t="s">
        <v>59</v>
      </c>
      <c r="F37" s="11">
        <v>9.4E-2</v>
      </c>
      <c r="G37" t="s">
        <v>50</v>
      </c>
      <c r="K37" t="s">
        <v>60</v>
      </c>
      <c r="L37" s="1">
        <v>7519</v>
      </c>
      <c r="M37" s="1">
        <v>3940</v>
      </c>
      <c r="N37" s="1">
        <v>3579</v>
      </c>
    </row>
    <row r="38" spans="1:14">
      <c r="A38" t="s">
        <v>60</v>
      </c>
      <c r="B38" s="11">
        <v>0.13100000000000001</v>
      </c>
      <c r="C38" t="s">
        <v>48</v>
      </c>
      <c r="D38" s="11">
        <v>0.13500000000000001</v>
      </c>
      <c r="E38" t="s">
        <v>61</v>
      </c>
      <c r="F38" s="11">
        <v>0.127</v>
      </c>
      <c r="G38" t="s">
        <v>50</v>
      </c>
      <c r="K38" t="s">
        <v>88</v>
      </c>
      <c r="L38" s="1">
        <v>1913</v>
      </c>
      <c r="M38" s="1">
        <v>1148</v>
      </c>
      <c r="N38">
        <v>765</v>
      </c>
    </row>
    <row r="39" spans="1:14">
      <c r="A39" t="s">
        <v>62</v>
      </c>
      <c r="B39" s="11">
        <v>5.7000000000000002E-2</v>
      </c>
      <c r="C39" t="s">
        <v>63</v>
      </c>
      <c r="D39" s="11">
        <v>0.06</v>
      </c>
      <c r="E39" t="s">
        <v>58</v>
      </c>
      <c r="F39" s="11">
        <v>5.2999999999999999E-2</v>
      </c>
      <c r="G39" t="s">
        <v>64</v>
      </c>
      <c r="K39" t="s">
        <v>89</v>
      </c>
      <c r="L39">
        <v>609</v>
      </c>
      <c r="M39">
        <v>386</v>
      </c>
      <c r="N39">
        <v>223</v>
      </c>
    </row>
    <row r="40" spans="1:14">
      <c r="K40" t="s">
        <v>90</v>
      </c>
      <c r="L40">
        <v>212</v>
      </c>
      <c r="M40">
        <v>102</v>
      </c>
      <c r="N40">
        <v>110</v>
      </c>
    </row>
    <row r="41" spans="1:14">
      <c r="A41" s="14" t="s">
        <v>14</v>
      </c>
      <c r="L41" t="s">
        <v>74</v>
      </c>
      <c r="M41" t="s">
        <v>75</v>
      </c>
    </row>
    <row r="42" spans="1:14">
      <c r="A42" t="s">
        <v>71</v>
      </c>
      <c r="B42" t="s">
        <v>72</v>
      </c>
      <c r="L42" t="s">
        <v>13</v>
      </c>
    </row>
    <row r="43" spans="1:14">
      <c r="A43" t="s">
        <v>10</v>
      </c>
      <c r="L43" t="s">
        <v>76</v>
      </c>
    </row>
    <row r="44" spans="1:14">
      <c r="B44" t="s">
        <v>66</v>
      </c>
      <c r="D44" t="s">
        <v>67</v>
      </c>
      <c r="L44" s="15"/>
      <c r="M44" s="15" t="s">
        <v>14</v>
      </c>
    </row>
    <row r="45" spans="1:14">
      <c r="B45" t="s">
        <v>15</v>
      </c>
      <c r="C45" t="s">
        <v>16</v>
      </c>
      <c r="D45" t="s">
        <v>15</v>
      </c>
      <c r="E45" t="s">
        <v>16</v>
      </c>
      <c r="L45" s="15" t="s">
        <v>73</v>
      </c>
      <c r="M45" s="17"/>
    </row>
    <row r="46" spans="1:14">
      <c r="A46" t="s">
        <v>68</v>
      </c>
      <c r="B46" s="1">
        <v>38392</v>
      </c>
      <c r="C46" t="s">
        <v>69</v>
      </c>
      <c r="D46" s="1">
        <v>47417</v>
      </c>
      <c r="E46" t="s">
        <v>70</v>
      </c>
      <c r="L46" s="15" t="s">
        <v>66</v>
      </c>
      <c r="M46" s="16">
        <v>42981</v>
      </c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renters</vt:lpstr>
      <vt:lpstr>non-white</vt:lpstr>
      <vt:lpstr>less than bachelors</vt:lpstr>
      <vt:lpstr>mhi</vt:lpstr>
      <vt:lpstr>four county vulnerability</vt:lpstr>
      <vt:lpstr>old summary vulnerability</vt:lpstr>
      <vt:lpstr>summary demographic</vt:lpstr>
    </vt:vector>
  </TitlesOfParts>
  <Company>ECONorthwest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Gooding</dc:creator>
  <cp:lastModifiedBy>Lizzie Gooding</cp:lastModifiedBy>
  <dcterms:created xsi:type="dcterms:W3CDTF">2015-02-13T00:39:35Z</dcterms:created>
  <dcterms:modified xsi:type="dcterms:W3CDTF">2016-04-02T21:29:56Z</dcterms:modified>
</cp:coreProperties>
</file>